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TCNC/Library/CloudStorage/Box-Box/GTC Files and Folders/Commission Meetings/2022 GTC Meetings/Budget/07.13.2022/2 Presentation Items/"/>
    </mc:Choice>
  </mc:AlternateContent>
  <xr:revisionPtr revIDLastSave="0" documentId="8_{804979C2-C02A-1945-AA81-A4183E503EDE}" xr6:coauthVersionLast="47" xr6:coauthVersionMax="47" xr10:uidLastSave="{00000000-0000-0000-0000-000000000000}"/>
  <bookViews>
    <workbookView xWindow="-25780" yWindow="1480" windowWidth="26880" windowHeight="14620" activeTab="1" xr2:uid="{F47B017D-CE2A-B543-B779-7D37450D873B}"/>
  </bookViews>
  <sheets>
    <sheet name="FY 2020 " sheetId="1" state="hidden" r:id="rId1"/>
    <sheet name="FY 2022 Final" sheetId="6" r:id="rId2"/>
    <sheet name="AFY 2022" sheetId="7" r:id="rId3"/>
  </sheets>
  <definedNames>
    <definedName name="_xlnm.Print_Area" localSheetId="1">'FY 2022 Final'!$A$74:$G$83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1" i="6" l="1"/>
  <c r="D77" i="6"/>
  <c r="C90" i="6"/>
  <c r="D90" i="6"/>
  <c r="D33" i="6"/>
  <c r="D24" i="6"/>
  <c r="D9" i="6"/>
  <c r="D66" i="6"/>
  <c r="C66" i="6"/>
  <c r="D93" i="6"/>
  <c r="C93" i="6"/>
  <c r="B93" i="6"/>
  <c r="G91" i="6"/>
  <c r="D82" i="6"/>
  <c r="D75" i="6"/>
  <c r="G93" i="6" l="1"/>
  <c r="G66" i="6"/>
  <c r="D49" i="6"/>
  <c r="D47" i="6"/>
  <c r="D46" i="6"/>
  <c r="D45" i="6"/>
  <c r="D44" i="6"/>
  <c r="D43" i="6"/>
  <c r="D41" i="6"/>
  <c r="D7" i="6"/>
  <c r="G89" i="6" l="1"/>
  <c r="G90" i="6"/>
  <c r="G92" i="6"/>
  <c r="G94" i="6"/>
  <c r="G88" i="6"/>
  <c r="G76" i="6"/>
  <c r="G78" i="6"/>
  <c r="G79" i="6"/>
  <c r="G80" i="6"/>
  <c r="G81" i="6"/>
  <c r="G75" i="6"/>
  <c r="G70" i="6"/>
  <c r="G71" i="6"/>
  <c r="G69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41" i="6"/>
  <c r="G25" i="6"/>
  <c r="G26" i="6"/>
  <c r="G27" i="6"/>
  <c r="G29" i="6"/>
  <c r="G30" i="6"/>
  <c r="G32" i="6"/>
  <c r="G33" i="6"/>
  <c r="G19" i="6"/>
  <c r="G20" i="6"/>
  <c r="G4" i="6"/>
  <c r="G6" i="6"/>
  <c r="G7" i="6"/>
  <c r="G8" i="6"/>
  <c r="G10" i="6"/>
  <c r="G11" i="6"/>
  <c r="G12" i="6"/>
  <c r="G13" i="6"/>
  <c r="G14" i="6"/>
  <c r="G15" i="6"/>
  <c r="G16" i="6"/>
  <c r="C34" i="6"/>
  <c r="C83" i="6"/>
  <c r="C95" i="6" l="1"/>
  <c r="G31" i="6" l="1"/>
  <c r="G18" i="6"/>
  <c r="G17" i="6" s="1"/>
  <c r="G9" i="6"/>
  <c r="F34" i="6" l="1"/>
  <c r="G77" i="6"/>
  <c r="B5" i="6" l="1"/>
  <c r="G3" i="6"/>
  <c r="F66" i="6"/>
  <c r="G5" i="6" l="1"/>
  <c r="F83" i="6"/>
  <c r="F95" i="6" l="1"/>
  <c r="D6" i="7" l="1"/>
  <c r="D13" i="7" s="1"/>
  <c r="D17" i="6" l="1"/>
  <c r="B17" i="6"/>
  <c r="B39" i="6" l="1"/>
  <c r="B66" i="6" l="1"/>
  <c r="E95" i="6"/>
  <c r="D28" i="6"/>
  <c r="G28" i="6" s="1"/>
  <c r="D22" i="6" l="1"/>
  <c r="D34" i="6" s="1"/>
  <c r="B82" i="6" l="1"/>
  <c r="G82" i="6" s="1"/>
  <c r="D83" i="6" l="1"/>
  <c r="D95" i="6" s="1"/>
  <c r="G83" i="6" l="1"/>
  <c r="G87" i="6"/>
  <c r="B24" i="6" l="1"/>
  <c r="G24" i="6" s="1"/>
  <c r="B22" i="6" l="1"/>
  <c r="B34" i="6"/>
  <c r="G34" i="6" s="1"/>
  <c r="G22" i="6"/>
  <c r="G39" i="6"/>
  <c r="B95" i="6" l="1"/>
  <c r="G95" i="6" s="1"/>
  <c r="G98" i="6"/>
  <c r="G99" i="6" l="1"/>
  <c r="G100" i="6" l="1"/>
  <c r="G101" i="6"/>
  <c r="I33" i="1"/>
  <c r="L98" i="1"/>
  <c r="G102" i="6" l="1"/>
  <c r="I91" i="1"/>
  <c r="I108" i="1"/>
  <c r="I95" i="1"/>
  <c r="L91" i="1"/>
  <c r="L92" i="1"/>
  <c r="L93" i="1"/>
  <c r="L94" i="1"/>
  <c r="L87" i="1"/>
  <c r="L88" i="1"/>
  <c r="L89" i="1"/>
  <c r="L90" i="1"/>
  <c r="I78" i="1"/>
  <c r="I97" i="1" l="1"/>
  <c r="O95" i="1" l="1"/>
  <c r="O78" i="1"/>
  <c r="O61" i="1"/>
  <c r="O38" i="1"/>
  <c r="O21" i="1"/>
  <c r="O16" i="1"/>
  <c r="O33" i="1" l="1"/>
  <c r="O97" i="1" s="1"/>
  <c r="L77" i="1" l="1"/>
  <c r="M76" i="1" l="1"/>
  <c r="M70" i="1" l="1"/>
  <c r="M54" i="1"/>
  <c r="M53" i="1"/>
  <c r="N83" i="1" l="1"/>
  <c r="N84" i="1"/>
  <c r="N85" i="1"/>
  <c r="N86" i="1"/>
  <c r="N71" i="1"/>
  <c r="N73" i="1"/>
  <c r="N74" i="1"/>
  <c r="N75" i="1"/>
  <c r="N76" i="1"/>
  <c r="N70" i="1"/>
  <c r="N41" i="1"/>
  <c r="N43" i="1"/>
  <c r="N45" i="1"/>
  <c r="N47" i="1"/>
  <c r="N48" i="1"/>
  <c r="N50" i="1"/>
  <c r="N51" i="1"/>
  <c r="N52" i="1"/>
  <c r="N53" i="1"/>
  <c r="N54" i="1"/>
  <c r="N55" i="1"/>
  <c r="N56" i="1"/>
  <c r="N57" i="1"/>
  <c r="N58" i="1"/>
  <c r="N59" i="1"/>
  <c r="N4" i="1"/>
  <c r="N5" i="1"/>
  <c r="N6" i="1"/>
  <c r="N7" i="1"/>
  <c r="N8" i="1"/>
  <c r="N9" i="1"/>
  <c r="N10" i="1"/>
  <c r="N11" i="1"/>
  <c r="N12" i="1"/>
  <c r="N13" i="1"/>
  <c r="N14" i="1"/>
  <c r="N17" i="1"/>
  <c r="N19" i="1"/>
  <c r="N22" i="1"/>
  <c r="N23" i="1"/>
  <c r="N24" i="1"/>
  <c r="N25" i="1"/>
  <c r="N27" i="1"/>
  <c r="N29" i="1"/>
  <c r="N30" i="1"/>
  <c r="N32" i="1"/>
  <c r="L95" i="1" l="1"/>
  <c r="L47" i="1"/>
  <c r="L48" i="1"/>
  <c r="L41" i="1"/>
  <c r="L43" i="1"/>
  <c r="L45" i="1"/>
  <c r="L72" i="1" l="1"/>
  <c r="L23" i="1"/>
  <c r="L24" i="1"/>
  <c r="L25" i="1"/>
  <c r="L27" i="1"/>
  <c r="L29" i="1"/>
  <c r="L30" i="1"/>
  <c r="L22" i="1"/>
  <c r="L17" i="1"/>
  <c r="L19" i="1"/>
  <c r="L5" i="1"/>
  <c r="L6" i="1"/>
  <c r="L7" i="1"/>
  <c r="L8" i="1"/>
  <c r="L9" i="1"/>
  <c r="L10" i="1"/>
  <c r="L11" i="1"/>
  <c r="L12" i="1"/>
  <c r="L4" i="1"/>
  <c r="L78" i="1" l="1"/>
  <c r="M72" i="1"/>
  <c r="M66" i="1"/>
  <c r="M64" i="1"/>
  <c r="L67" i="1"/>
  <c r="L68" i="1"/>
  <c r="L69" i="1"/>
  <c r="N72" i="1" l="1"/>
  <c r="N66" i="1"/>
  <c r="N64" i="1"/>
  <c r="J78" i="1" l="1"/>
  <c r="H70" i="1"/>
  <c r="K77" i="1" l="1"/>
  <c r="K78" i="1" l="1"/>
  <c r="K40" i="1" l="1"/>
  <c r="K42" i="1"/>
  <c r="K44" i="1"/>
  <c r="K46" i="1"/>
  <c r="K49" i="1"/>
  <c r="L46" i="1" l="1"/>
  <c r="N46" i="1"/>
  <c r="L49" i="1"/>
  <c r="N49" i="1"/>
  <c r="L44" i="1"/>
  <c r="N44" i="1"/>
  <c r="L42" i="1"/>
  <c r="N42" i="1"/>
  <c r="L40" i="1"/>
  <c r="N40" i="1"/>
  <c r="K61" i="1"/>
  <c r="K38" i="1"/>
  <c r="F61" i="1"/>
  <c r="L38" i="1" l="1"/>
  <c r="L61" i="1"/>
  <c r="N38" i="1"/>
  <c r="G95" i="1"/>
  <c r="F78" i="1"/>
  <c r="F95" i="1"/>
  <c r="M61" i="1" l="1"/>
  <c r="N61" i="1" s="1"/>
  <c r="F97" i="1"/>
  <c r="K3" i="1"/>
  <c r="K18" i="1"/>
  <c r="K26" i="1"/>
  <c r="K28" i="1"/>
  <c r="L28" i="1" l="1"/>
  <c r="N28" i="1"/>
  <c r="L26" i="1"/>
  <c r="N26" i="1"/>
  <c r="L18" i="1"/>
  <c r="N18" i="1"/>
  <c r="L3" i="1"/>
  <c r="N3" i="1"/>
  <c r="K16" i="1"/>
  <c r="K95" i="1"/>
  <c r="K21" i="1"/>
  <c r="J61" i="1"/>
  <c r="J38" i="1"/>
  <c r="L16" i="1" l="1"/>
  <c r="N16" i="1"/>
  <c r="L21" i="1"/>
  <c r="N21" i="1"/>
  <c r="M95" i="1"/>
  <c r="K33" i="1"/>
  <c r="J95" i="1"/>
  <c r="J3" i="1"/>
  <c r="J21" i="1"/>
  <c r="J16" i="1"/>
  <c r="G21" i="1"/>
  <c r="G72" i="1"/>
  <c r="G70" i="1"/>
  <c r="G16" i="1"/>
  <c r="G38" i="1"/>
  <c r="G61" i="1"/>
  <c r="G32" i="1"/>
  <c r="L33" i="1" l="1"/>
  <c r="L97" i="1" s="1"/>
  <c r="N95" i="1"/>
  <c r="K97" i="1"/>
  <c r="G33" i="1"/>
  <c r="G78" i="1"/>
  <c r="J33" i="1"/>
  <c r="J97" i="1" s="1"/>
  <c r="M33" i="1" l="1"/>
  <c r="N33" i="1"/>
  <c r="G97" i="1"/>
  <c r="H38" i="1"/>
  <c r="B95" i="1" l="1"/>
  <c r="B72" i="1"/>
  <c r="B78" i="1" s="1"/>
  <c r="B61" i="1"/>
  <c r="B38" i="1"/>
  <c r="D38" i="1"/>
  <c r="C38" i="1"/>
  <c r="B21" i="1"/>
  <c r="B16" i="1"/>
  <c r="C16" i="1"/>
  <c r="B8" i="1"/>
  <c r="C95" i="1"/>
  <c r="C72" i="1"/>
  <c r="C78" i="1" s="1"/>
  <c r="C61" i="1"/>
  <c r="C21" i="1"/>
  <c r="C33" i="1" l="1"/>
  <c r="C97" i="1" s="1"/>
  <c r="B33" i="1"/>
  <c r="B97" i="1" s="1"/>
  <c r="D95" i="1"/>
  <c r="D21" i="1"/>
  <c r="E61" i="1"/>
  <c r="D72" i="1"/>
  <c r="D78" i="1" s="1"/>
  <c r="D61" i="1"/>
  <c r="D19" i="1"/>
  <c r="D16" i="1" s="1"/>
  <c r="D4" i="1"/>
  <c r="D3" i="1"/>
  <c r="E6" i="1"/>
  <c r="E4" i="1"/>
  <c r="E3" i="1"/>
  <c r="D33" i="1" l="1"/>
  <c r="D97" i="1" s="1"/>
  <c r="E72" i="1"/>
  <c r="E78" i="1" s="1"/>
  <c r="H72" i="1"/>
  <c r="H78" i="1" s="1"/>
  <c r="H95" i="1"/>
  <c r="E95" i="1"/>
  <c r="E38" i="1"/>
  <c r="H61" i="1"/>
  <c r="H8" i="1"/>
  <c r="H21" i="1"/>
  <c r="E21" i="1"/>
  <c r="H16" i="1"/>
  <c r="E16" i="1"/>
  <c r="H4" i="1"/>
  <c r="H3" i="1"/>
  <c r="H6" i="1"/>
  <c r="E33" i="1" l="1"/>
  <c r="E97" i="1" s="1"/>
  <c r="E101" i="1" s="1"/>
  <c r="H33" i="1"/>
  <c r="H97" i="1" s="1"/>
  <c r="I101" i="1" s="1"/>
  <c r="I102" i="1" s="1"/>
  <c r="M77" i="1" l="1"/>
  <c r="M78" i="1"/>
  <c r="O99" i="1"/>
  <c r="N77" i="1" l="1"/>
  <c r="M97" i="1"/>
  <c r="N97" i="1" s="1"/>
  <c r="N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tc={AA371A59-12CF-5F48-B395-5B2D42D9A627}</author>
    <author>tc={926177E7-F1BE-BC40-9712-8D1A3F643948}</author>
    <author>tc={8149047B-4CCC-9340-8B9B-1816DA56A587}</author>
    <author>tc={F7B2A585-7FFC-2C40-A9D6-F64235C68C24}</author>
    <author>tc={28079495-A381-FD42-B443-673F1A198AF6}</author>
    <author>tc={FB2204F1-5375-F140-9BFD-98E49B0BAA90}</author>
    <author>tc={00503C47-FE4B-8A42-ADFF-6B6603CB2A76}</author>
  </authors>
  <commentList>
    <comment ref="A5" authorId="0" shapeId="0" xr:uid="{AA371A59-12CF-5F48-B395-5B2D42D9A6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Workers Comp
Unemployment Insurance
Liability Insurance
</t>
      </text>
    </comment>
    <comment ref="C8" authorId="1" shapeId="0" xr:uid="{926177E7-F1BE-BC40-9712-8D1A3F64394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Rent with AFY 2016</t>
      </text>
    </comment>
    <comment ref="D8" authorId="2" shapeId="0" xr:uid="{8149047B-4CCC-9340-8B9B-1816DA56A5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Paid with AFY 17 Funds
</t>
      </text>
    </comment>
    <comment ref="E8" authorId="3" shapeId="0" xr:uid="{F7B2A585-7FFC-2C40-A9D6-F64235C68C2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Rent was paid with AFY 18 Dollars
</t>
      </text>
    </comment>
    <comment ref="K19" authorId="4" shapeId="0" xr:uid="{28079495-A381-FD42-B443-673F1A198AF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System Improvement RTAC budget 1,000 for MIFI’s
</t>
      </text>
    </comment>
    <comment ref="E52" authorId="5" shapeId="0" xr:uid="{FB2204F1-5375-F140-9BFD-98E49B0BAA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Paid with AFY 18
</t>
      </text>
    </comment>
    <comment ref="D64" authorId="6" shapeId="0" xr:uid="{00503C47-FE4B-8A42-ADFF-6B6603CB2A7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Used AFY 17 Dollars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tc={9E29D9A6-DF64-194F-A344-2CD629605F7B}</author>
  </authors>
  <commentList>
    <comment ref="A6" authorId="0" shapeId="0" xr:uid="{9E29D9A6-DF64-194F-A344-2CD629605F7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Workers Comp
Unemployment Insurance
Liability Insurance
</t>
      </text>
    </comment>
  </commentList>
</comments>
</file>

<file path=xl/sharedStrings.xml><?xml version="1.0" encoding="utf-8"?>
<sst xmlns="http://schemas.openxmlformats.org/spreadsheetml/2006/main" count="286" uniqueCount="201">
  <si>
    <t>Staff Salaries</t>
  </si>
  <si>
    <t>Benefits</t>
  </si>
  <si>
    <t>Staff Travel</t>
  </si>
  <si>
    <t>Commission Member Per Diem</t>
  </si>
  <si>
    <t>DOAS Administrative Fee</t>
  </si>
  <si>
    <t>ACCOUNT</t>
  </si>
  <si>
    <t>Approved 2016</t>
  </si>
  <si>
    <t>Approved 2017</t>
  </si>
  <si>
    <t>Approved 2018</t>
  </si>
  <si>
    <t>Approved 2019</t>
  </si>
  <si>
    <t>Rent</t>
  </si>
  <si>
    <t>Telephone</t>
  </si>
  <si>
    <t>Office Telephone and Internet</t>
  </si>
  <si>
    <t>Staff Cell and Mifi</t>
  </si>
  <si>
    <t>Website Hosting</t>
  </si>
  <si>
    <t>Website Maintenance</t>
  </si>
  <si>
    <t>The Box Cloud Storage</t>
  </si>
  <si>
    <t>Office 365</t>
  </si>
  <si>
    <t>Name Cheap</t>
  </si>
  <si>
    <t>Quickbooks</t>
  </si>
  <si>
    <t>Mulkey Outside of Contract</t>
  </si>
  <si>
    <t>Contingency</t>
  </si>
  <si>
    <t>Printing</t>
  </si>
  <si>
    <t>Office Supplies</t>
  </si>
  <si>
    <t>Postage</t>
  </si>
  <si>
    <t>Meeting Expense</t>
  </si>
  <si>
    <t>RTAC Funds</t>
  </si>
  <si>
    <t>Region 1</t>
  </si>
  <si>
    <t>Region 2</t>
  </si>
  <si>
    <t>Region 3</t>
  </si>
  <si>
    <t>Region 4</t>
  </si>
  <si>
    <t>Region 5</t>
  </si>
  <si>
    <t>Region 6</t>
  </si>
  <si>
    <t>Region 7</t>
  </si>
  <si>
    <t>Region 9</t>
  </si>
  <si>
    <t>Region 10</t>
  </si>
  <si>
    <t>ACS TQIP State Participation</t>
  </si>
  <si>
    <t>MAG</t>
  </si>
  <si>
    <t>GQIP</t>
  </si>
  <si>
    <t>Total System Development</t>
  </si>
  <si>
    <t>Nurses Education</t>
  </si>
  <si>
    <t>Warren Averett UCC Audits</t>
  </si>
  <si>
    <t>Registry</t>
  </si>
  <si>
    <t>Total Trauma Centers</t>
  </si>
  <si>
    <t>Total Budget by Fiscal Year</t>
  </si>
  <si>
    <t>EMS STAKEHOLDERS</t>
  </si>
  <si>
    <t>AVLS Maintenance</t>
  </si>
  <si>
    <t>AVLS Airtime Support</t>
  </si>
  <si>
    <t>Verizon</t>
  </si>
  <si>
    <t>Sprint</t>
  </si>
  <si>
    <t>FirstNet</t>
  </si>
  <si>
    <t>Contracts/Grants</t>
  </si>
  <si>
    <t>Total EMS Stakeholders</t>
  </si>
  <si>
    <t>Start Up Grants</t>
  </si>
  <si>
    <t>Trauma Associates of Georgia</t>
  </si>
  <si>
    <t>Saab</t>
  </si>
  <si>
    <t>Azure</t>
  </si>
  <si>
    <t>eBroselow</t>
  </si>
  <si>
    <t>RTAC MIFI</t>
  </si>
  <si>
    <t>Acutal 2019</t>
  </si>
  <si>
    <t>Paid with prior FY</t>
  </si>
  <si>
    <t>AVLS  Equipment</t>
  </si>
  <si>
    <t>SOFTWARE/IT</t>
  </si>
  <si>
    <t>State IT Service</t>
  </si>
  <si>
    <t>Warren Averett Financing Optimiization</t>
  </si>
  <si>
    <t>Pracht Study</t>
  </si>
  <si>
    <t>Ameneded FY 2019</t>
  </si>
  <si>
    <t>Injury Prevention</t>
  </si>
  <si>
    <t>Adobe</t>
  </si>
  <si>
    <t>GTC OPERATIONS</t>
  </si>
  <si>
    <t>Total GTC Operations</t>
  </si>
  <si>
    <t xml:space="preserve">SYSTEM DEVELOPMENT </t>
  </si>
  <si>
    <t xml:space="preserve">TRAUMA CENTERS </t>
  </si>
  <si>
    <t>GEORGIA TRAUMA FOUNDATION</t>
  </si>
  <si>
    <t>OEMS&amp;T</t>
  </si>
  <si>
    <t>Virtual Meeting Platform</t>
  </si>
  <si>
    <t>Region 8</t>
  </si>
  <si>
    <t>State Trauma Medical Director</t>
  </si>
  <si>
    <t>ACS System Consult (FY2022)</t>
  </si>
  <si>
    <t>Program Management-Tim Boone</t>
  </si>
  <si>
    <t xml:space="preserve">Initiative </t>
  </si>
  <si>
    <t>Cost</t>
  </si>
  <si>
    <t>TQIP &amp; ACS Consultative Support</t>
  </si>
  <si>
    <t>PROPOSED FY 2021</t>
  </si>
  <si>
    <t xml:space="preserve">TCAA </t>
  </si>
  <si>
    <t>PROPOSED FY 2021 WITH 14 % REDUCTION</t>
  </si>
  <si>
    <t xml:space="preserve">% OF REDUCTION </t>
  </si>
  <si>
    <t>$  OF REDUCTION</t>
  </si>
  <si>
    <t>FY 2020 FUNDS TO REPURPOSE</t>
  </si>
  <si>
    <t>EMS EQUIPMENT GRANT ROUND 1</t>
  </si>
  <si>
    <t>EMS EQUIPMENT GRANT ROUND 2</t>
  </si>
  <si>
    <t>TOTAL FY 2020 FUNDS TO REPURPOSE</t>
  </si>
  <si>
    <t>ARCHBOLD</t>
  </si>
  <si>
    <t>.</t>
  </si>
  <si>
    <t>REMAINING TO REPURPOSE</t>
  </si>
  <si>
    <t>FY 2020 OEMST TRUE UP</t>
  </si>
  <si>
    <t xml:space="preserve">Archbold TQIP </t>
  </si>
  <si>
    <t>TCAA</t>
  </si>
  <si>
    <t>PAY WITH REPURPOSE FY 2020</t>
  </si>
  <si>
    <t>FY 2021 TIM BOONE AVLS SUPPORT</t>
  </si>
  <si>
    <t>PROPOSED FY 2021 WITH 11 % REDUCTION</t>
  </si>
  <si>
    <t>Amended FY 2020</t>
  </si>
  <si>
    <t>Actual FY 2020</t>
  </si>
  <si>
    <t>Approved FY 2020</t>
  </si>
  <si>
    <t>Rural Trauma Support Level III</t>
  </si>
  <si>
    <t>Rural Trauma Support Level IV</t>
  </si>
  <si>
    <t>Funding Expansion</t>
  </si>
  <si>
    <t>System Expansion</t>
  </si>
  <si>
    <t>Five Things Project</t>
  </si>
  <si>
    <t>Trauma Center Funds</t>
  </si>
  <si>
    <t>Emailed Will</t>
  </si>
  <si>
    <t>Notes</t>
  </si>
  <si>
    <t>Merit System Assessment Adjustment</t>
  </si>
  <si>
    <t xml:space="preserve">FY 2022 Proposed Notes </t>
  </si>
  <si>
    <t>MAG (Year 4 of 5)</t>
  </si>
  <si>
    <t>GQIP (Year 5 of 6)</t>
  </si>
  <si>
    <t>Microsoft Teams $300, Zoom $3300, Survey Monkey $410</t>
  </si>
  <si>
    <t>EPB and Spectrum</t>
  </si>
  <si>
    <t>Email Will to verify the DOAS Administrative Fee-Katie</t>
  </si>
  <si>
    <t>Staff Education and  Travel</t>
  </si>
  <si>
    <t>Registration, Mileage, Per Diem, Hotel</t>
  </si>
  <si>
    <t>Rossville $1500 a month reduced SF and Madison $650</t>
  </si>
  <si>
    <t>Researching St. Simons/Spring-Liz   Hybrid AV support</t>
  </si>
  <si>
    <t xml:space="preserve">? With transition to GOV Hub, will we still have expense? </t>
  </si>
  <si>
    <t>Legal-Peer Review P&amp;P Development</t>
  </si>
  <si>
    <t>4 Commission Staff Cell 4 Commission Staff MIFI 1 RTAC Cell 2 RTAC MIFI</t>
  </si>
  <si>
    <t>Combined with GovHub</t>
  </si>
  <si>
    <t>Georgia GovHub/GTA</t>
  </si>
  <si>
    <t>3% of total base budget Budget Subcomittee Discussion-Split allocation between FY/AFY</t>
  </si>
  <si>
    <t xml:space="preserve">Combined with Website Maintenance </t>
  </si>
  <si>
    <t>Description of System Enhancements</t>
  </si>
  <si>
    <t xml:space="preserve">O.C.G.A Reference </t>
  </si>
  <si>
    <t>TOTAL OPERATING EXPENSES</t>
  </si>
  <si>
    <t>TOTAL BUDGET</t>
  </si>
  <si>
    <t>Business Plus Version</t>
  </si>
  <si>
    <t>REMAINING BUDGET FOR ALLOCATION</t>
  </si>
  <si>
    <t>EMS 20%</t>
  </si>
  <si>
    <t>TRAUMA CENTERS 80%</t>
  </si>
  <si>
    <t xml:space="preserve">TOTAL BUDGETED </t>
  </si>
  <si>
    <t>Office 365 G5 GCC</t>
  </si>
  <si>
    <t>$42,000 Tim Boone</t>
  </si>
  <si>
    <t>Approved FY 2022 Budget</t>
  </si>
  <si>
    <t>Remaining FY 2022 Funds $</t>
  </si>
  <si>
    <t>Trauma Centers</t>
  </si>
  <si>
    <t>EMS</t>
  </si>
  <si>
    <t>Level III and Level IV Consultative Visits with ACS or PTSF/TETAF</t>
  </si>
  <si>
    <t>Liz $170,000 Gina $94,459 Katie $74,758.74 Gabby $66,348.39 Total $ 405,566.13 ($81,513.87)</t>
  </si>
  <si>
    <t>61.884%  $250,980.54 (50,444.05)</t>
  </si>
  <si>
    <t xml:space="preserve">GEORGIA TRAUMA FOUNDATION (Year 9) </t>
  </si>
  <si>
    <t>Projections/Encumbered</t>
  </si>
  <si>
    <t>FY 2022 Projected Notes</t>
  </si>
  <si>
    <t>Verifying with Will</t>
  </si>
  <si>
    <t>Encumbered</t>
  </si>
  <si>
    <t>Will we need the full $30,000</t>
  </si>
  <si>
    <t>Gabby mentioned furniture, will we need the full $4,757.80? We still have the Amazon PO $8,282.</t>
  </si>
  <si>
    <t>Need to increase for next year $498.69X12=$5,984.28 plus potential new equipment?</t>
  </si>
  <si>
    <t>(Annual Report Printing $500) (Remainder of the year printing $2000) Need to increase for 2023</t>
  </si>
  <si>
    <t>Our plan for Zoom shows $840.00 not $3300, do you know why the difference? It was what Erin told us was projected cost.</t>
  </si>
  <si>
    <t>They usually request an extension. Do we want to do the same this year? They still have $19,487.10 remaining on their FY 2021 PO</t>
  </si>
  <si>
    <t>GQIP Trauma Medical Director</t>
  </si>
  <si>
    <t>Emailed Jesse and Jackie</t>
  </si>
  <si>
    <t>Georgia Trauma Care Network Commission AFY2022 Proposed Spend Plan*</t>
  </si>
  <si>
    <t xml:space="preserve">Trauma System Quality &amp; Accountability  </t>
  </si>
  <si>
    <t>ACS System Consult with Rural South Georgia focus</t>
  </si>
  <si>
    <t xml:space="preserve"> O.C.G.A. § 31.11.102.8, 10, 11, 12, 13, 14, 15</t>
  </si>
  <si>
    <t xml:space="preserve">Provide funding for Trauma Quality Improvement Program participation for all eight state designated level III trauma centers </t>
  </si>
  <si>
    <t>O.C.G.A. § 31.11.102.14,15;      § 31.11.103(b)</t>
  </si>
  <si>
    <t xml:space="preserve"> O.C.G.A. § 31.11.102.12, 14, 15</t>
  </si>
  <si>
    <t>Trauma Registry Web-hosting for all Levels III and IV trauma centers</t>
  </si>
  <si>
    <t xml:space="preserve"> O.C.G.A. § 31.11.102.14</t>
  </si>
  <si>
    <t>Increase readiness funding for the 28 funded trauma &amp; burn centers to offset base budget reductions</t>
  </si>
  <si>
    <t xml:space="preserve"> O.C.G.A. § 31.11.102.3</t>
  </si>
  <si>
    <t xml:space="preserve">Provide trauma readiness &amp; registry funding support for 5 additional trauma centers:  three level IIIs, one level II and one pediatric level II </t>
  </si>
  <si>
    <t>O.C.G.A. § 31.11.102.3</t>
  </si>
  <si>
    <t>OEMST</t>
  </si>
  <si>
    <t xml:space="preserve">True up to FY 2021 baseline </t>
  </si>
  <si>
    <t>O.C.G.A. § 31.11.102.9</t>
  </si>
  <si>
    <t xml:space="preserve">911 response ambulance equipment grants, pre-hospital provider and leader training and distribution of ambulance sanitizing equipment &amp; supplies </t>
  </si>
  <si>
    <t>O.C.G.A. § 31.11.102.7</t>
  </si>
  <si>
    <t>Proposed AFY 2022 Total Budget</t>
  </si>
  <si>
    <t xml:space="preserve">One time $108 with EPB, will be $8. </t>
  </si>
  <si>
    <t>This includes education and travel. We might have some left, but with flights, I want to ensure we keep enough to cover all possible travel.</t>
  </si>
  <si>
    <t>Potential Projections</t>
  </si>
  <si>
    <t xml:space="preserve">Do we need Encumber for FY 2022 since we did not use the FY 2021 $15,000? </t>
  </si>
  <si>
    <t>Projections include average with additional 2 months and an additional $1,000</t>
  </si>
  <si>
    <t>T-Mobile Additional AVLS Equipment</t>
  </si>
  <si>
    <t>$599,000 Estimate from Tim Boone Encumbered ($624,985) Encumber ($20,915.79) to T-Mobile</t>
  </si>
  <si>
    <t xml:space="preserve">Cost for email?  ($10,000 for delvopment) ($2,450 for $350 a month Dec-June) </t>
  </si>
  <si>
    <t>(Marketing $1,000) (Arbormetrix $8,484.00)(Misc Items $2,000) (Grammarly $720) (Basecamp $1,000)(Zoom $600)(Bemiller $6000.00)</t>
  </si>
  <si>
    <t>Balance Paid with AFY 2023 funds</t>
  </si>
  <si>
    <t>Includes $228,322.22 for overages and reallocation ($15,000 AVLS equipment before end of year per Tim) ($25,000 for Equipment) ($203,322 for Equipment Grant)</t>
  </si>
  <si>
    <t>Mulkey total FY 2022 Increased to $1200 a month ($8400.00 for Dec-June on top of reflected expenses)( RTAC Website $6,150)( Additional $3,700 for $1,200 a month adj) (Additional Website Work $3.847.50)</t>
  </si>
  <si>
    <t>Approved AFY 2022 Budget</t>
  </si>
  <si>
    <t>ACS System Consult with Rural South Georgia Focus</t>
  </si>
  <si>
    <t>TQIP for Level III Trauma Centers</t>
  </si>
  <si>
    <t>Level III and Level IV Consultative Visits</t>
  </si>
  <si>
    <t>Unfunded Trauma Centers</t>
  </si>
  <si>
    <t>Trauma Registry Web-Hosting</t>
  </si>
  <si>
    <t>Actual 2022 Expenses through June</t>
  </si>
  <si>
    <t>Reallocated EMS Equipment Grant Funds</t>
  </si>
  <si>
    <t>Reallocated FY 2022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</si>
</sst>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2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44" fontId="5" fillId="3" borderId="6" xfId="0" applyNumberFormat="1" applyFont="1" applyFill="1" applyBorder="1" applyAlignment="1">
      <alignment horizont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2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/>
    <xf numFmtId="44" fontId="4" fillId="3" borderId="4" xfId="0" applyNumberFormat="1" applyFont="1" applyFill="1" applyBorder="1"/>
    <xf numFmtId="44" fontId="4" fillId="3" borderId="4" xfId="0" applyNumberFormat="1" applyFont="1" applyFill="1" applyBorder="1" applyAlignment="1">
      <alignment vertical="center"/>
    </xf>
    <xf numFmtId="44" fontId="4" fillId="3" borderId="22" xfId="0" applyNumberFormat="1" applyFont="1" applyFill="1" applyBorder="1"/>
    <xf numFmtId="0" fontId="4" fillId="0" borderId="0" xfId="0" applyFont="1"/>
    <xf numFmtId="0" fontId="4" fillId="3" borderId="2" xfId="0" applyFont="1" applyFill="1" applyBorder="1"/>
    <xf numFmtId="44" fontId="4" fillId="3" borderId="1" xfId="0" applyNumberFormat="1" applyFont="1" applyFill="1" applyBorder="1"/>
    <xf numFmtId="44" fontId="4" fillId="3" borderId="1" xfId="0" applyNumberFormat="1" applyFont="1" applyFill="1" applyBorder="1" applyAlignment="1">
      <alignment vertical="center"/>
    </xf>
    <xf numFmtId="44" fontId="4" fillId="3" borderId="17" xfId="0" applyNumberFormat="1" applyFont="1" applyFill="1" applyBorder="1"/>
    <xf numFmtId="0" fontId="4" fillId="3" borderId="7" xfId="0" applyFont="1" applyFill="1" applyBorder="1"/>
    <xf numFmtId="44" fontId="4" fillId="3" borderId="8" xfId="0" applyNumberFormat="1" applyFont="1" applyFill="1" applyBorder="1"/>
    <xf numFmtId="44" fontId="4" fillId="3" borderId="8" xfId="0" applyNumberFormat="1" applyFont="1" applyFill="1" applyBorder="1" applyAlignment="1">
      <alignment vertical="center"/>
    </xf>
    <xf numFmtId="44" fontId="4" fillId="3" borderId="23" xfId="0" applyNumberFormat="1" applyFont="1" applyFill="1" applyBorder="1"/>
    <xf numFmtId="0" fontId="6" fillId="3" borderId="5" xfId="0" applyFont="1" applyFill="1" applyBorder="1"/>
    <xf numFmtId="44" fontId="6" fillId="3" borderId="6" xfId="0" applyNumberFormat="1" applyFont="1" applyFill="1" applyBorder="1"/>
    <xf numFmtId="44" fontId="6" fillId="3" borderId="21" xfId="0" applyNumberFormat="1" applyFont="1" applyFill="1" applyBorder="1"/>
    <xf numFmtId="0" fontId="6" fillId="0" borderId="0" xfId="0" applyFont="1"/>
    <xf numFmtId="0" fontId="4" fillId="3" borderId="3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6" fillId="2" borderId="12" xfId="0" applyFont="1" applyFill="1" applyBorder="1"/>
    <xf numFmtId="44" fontId="6" fillId="2" borderId="13" xfId="0" applyNumberFormat="1" applyFont="1" applyFill="1" applyBorder="1"/>
    <xf numFmtId="44" fontId="6" fillId="2" borderId="13" xfId="1" applyNumberFormat="1" applyFont="1" applyFill="1" applyBorder="1"/>
    <xf numFmtId="44" fontId="6" fillId="2" borderId="13" xfId="1" applyNumberFormat="1" applyFont="1" applyFill="1" applyBorder="1" applyAlignment="1">
      <alignment vertical="center"/>
    </xf>
    <xf numFmtId="0" fontId="4" fillId="2" borderId="18" xfId="0" applyFont="1" applyFill="1" applyBorder="1"/>
    <xf numFmtId="44" fontId="4" fillId="2" borderId="19" xfId="0" applyNumberFormat="1" applyFont="1" applyFill="1" applyBorder="1"/>
    <xf numFmtId="44" fontId="4" fillId="2" borderId="19" xfId="0" applyNumberFormat="1" applyFont="1" applyFill="1" applyBorder="1" applyAlignment="1">
      <alignment vertical="center"/>
    </xf>
    <xf numFmtId="0" fontId="7" fillId="0" borderId="0" xfId="0" applyFont="1"/>
    <xf numFmtId="0" fontId="3" fillId="6" borderId="9" xfId="0" applyFont="1" applyFill="1" applyBorder="1" applyAlignment="1">
      <alignment horizontal="center"/>
    </xf>
    <xf numFmtId="44" fontId="4" fillId="6" borderId="10" xfId="0" applyNumberFormat="1" applyFont="1" applyFill="1" applyBorder="1"/>
    <xf numFmtId="44" fontId="4" fillId="6" borderId="10" xfId="0" applyNumberFormat="1" applyFont="1" applyFill="1" applyBorder="1" applyAlignment="1">
      <alignment vertical="center"/>
    </xf>
    <xf numFmtId="44" fontId="4" fillId="6" borderId="24" xfId="0" applyNumberFormat="1" applyFont="1" applyFill="1" applyBorder="1"/>
    <xf numFmtId="0" fontId="6" fillId="6" borderId="5" xfId="0" applyFont="1" applyFill="1" applyBorder="1" applyAlignment="1">
      <alignment horizontal="left"/>
    </xf>
    <xf numFmtId="44" fontId="6" fillId="6" borderId="6" xfId="0" applyNumberFormat="1" applyFont="1" applyFill="1" applyBorder="1"/>
    <xf numFmtId="44" fontId="6" fillId="6" borderId="6" xfId="0" applyNumberFormat="1" applyFont="1" applyFill="1" applyBorder="1" applyAlignment="1">
      <alignment vertical="center"/>
    </xf>
    <xf numFmtId="44" fontId="6" fillId="6" borderId="21" xfId="0" applyNumberFormat="1" applyFont="1" applyFill="1" applyBorder="1"/>
    <xf numFmtId="0" fontId="4" fillId="6" borderId="3" xfId="0" applyFont="1" applyFill="1" applyBorder="1" applyAlignment="1">
      <alignment horizontal="right"/>
    </xf>
    <xf numFmtId="44" fontId="4" fillId="6" borderId="4" xfId="0" applyNumberFormat="1" applyFont="1" applyFill="1" applyBorder="1"/>
    <xf numFmtId="44" fontId="4" fillId="6" borderId="4" xfId="0" applyNumberFormat="1" applyFont="1" applyFill="1" applyBorder="1" applyAlignment="1">
      <alignment vertical="center"/>
    </xf>
    <xf numFmtId="44" fontId="4" fillId="6" borderId="22" xfId="0" applyNumberFormat="1" applyFont="1" applyFill="1" applyBorder="1"/>
    <xf numFmtId="0" fontId="4" fillId="6" borderId="2" xfId="0" applyFont="1" applyFill="1" applyBorder="1" applyAlignment="1">
      <alignment horizontal="right"/>
    </xf>
    <xf numFmtId="44" fontId="4" fillId="6" borderId="1" xfId="0" applyNumberFormat="1" applyFont="1" applyFill="1" applyBorder="1"/>
    <xf numFmtId="44" fontId="4" fillId="6" borderId="1" xfId="0" applyNumberFormat="1" applyFont="1" applyFill="1" applyBorder="1" applyAlignment="1">
      <alignment vertical="center"/>
    </xf>
    <xf numFmtId="44" fontId="4" fillId="6" borderId="17" xfId="0" applyNumberFormat="1" applyFont="1" applyFill="1" applyBorder="1"/>
    <xf numFmtId="44" fontId="4" fillId="6" borderId="0" xfId="0" applyNumberFormat="1" applyFont="1" applyFill="1" applyBorder="1"/>
    <xf numFmtId="0" fontId="4" fillId="6" borderId="0" xfId="0" applyFont="1" applyFill="1" applyBorder="1" applyAlignment="1">
      <alignment vertical="center"/>
    </xf>
    <xf numFmtId="0" fontId="4" fillId="6" borderId="2" xfId="0" applyFont="1" applyFill="1" applyBorder="1"/>
    <xf numFmtId="44" fontId="4" fillId="6" borderId="17" xfId="0" applyNumberFormat="1" applyFont="1" applyFill="1" applyBorder="1" applyAlignment="1">
      <alignment vertical="center"/>
    </xf>
    <xf numFmtId="0" fontId="4" fillId="6" borderId="7" xfId="0" applyFont="1" applyFill="1" applyBorder="1"/>
    <xf numFmtId="44" fontId="4" fillId="6" borderId="8" xfId="0" applyNumberFormat="1" applyFont="1" applyFill="1" applyBorder="1"/>
    <xf numFmtId="44" fontId="4" fillId="6" borderId="23" xfId="0" applyNumberFormat="1" applyFont="1" applyFill="1" applyBorder="1"/>
    <xf numFmtId="44" fontId="4" fillId="6" borderId="23" xfId="0" applyNumberFormat="1" applyFont="1" applyFill="1" applyBorder="1" applyAlignment="1">
      <alignment vertical="center"/>
    </xf>
    <xf numFmtId="44" fontId="6" fillId="2" borderId="13" xfId="0" applyNumberFormat="1" applyFont="1" applyFill="1" applyBorder="1" applyAlignment="1">
      <alignment vertical="center"/>
    </xf>
    <xf numFmtId="0" fontId="5" fillId="0" borderId="0" xfId="0" applyFont="1"/>
    <xf numFmtId="0" fontId="3" fillId="0" borderId="0" xfId="0" applyFont="1"/>
    <xf numFmtId="0" fontId="5" fillId="2" borderId="12" xfId="0" applyFont="1" applyFill="1" applyBorder="1" applyAlignment="1">
      <alignment horizontal="center" vertical="center"/>
    </xf>
    <xf numFmtId="44" fontId="5" fillId="2" borderId="13" xfId="0" applyNumberFormat="1" applyFont="1" applyFill="1" applyBorder="1"/>
    <xf numFmtId="44" fontId="5" fillId="2" borderId="13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44" fontId="4" fillId="5" borderId="4" xfId="0" applyNumberFormat="1" applyFont="1" applyFill="1" applyBorder="1"/>
    <xf numFmtId="44" fontId="4" fillId="5" borderId="4" xfId="0" applyNumberFormat="1" applyFont="1" applyFill="1" applyBorder="1" applyAlignment="1">
      <alignment vertical="center"/>
    </xf>
    <xf numFmtId="44" fontId="4" fillId="5" borderId="22" xfId="0" applyNumberFormat="1" applyFont="1" applyFill="1" applyBorder="1"/>
    <xf numFmtId="44" fontId="3" fillId="5" borderId="22" xfId="0" applyNumberFormat="1" applyFont="1" applyFill="1" applyBorder="1"/>
    <xf numFmtId="44" fontId="4" fillId="5" borderId="8" xfId="0" applyNumberFormat="1" applyFont="1" applyFill="1" applyBorder="1"/>
    <xf numFmtId="44" fontId="4" fillId="5" borderId="8" xfId="0" applyNumberFormat="1" applyFont="1" applyFill="1" applyBorder="1" applyAlignment="1">
      <alignment vertical="center"/>
    </xf>
    <xf numFmtId="44" fontId="4" fillId="5" borderId="23" xfId="0" applyNumberFormat="1" applyFont="1" applyFill="1" applyBorder="1"/>
    <xf numFmtId="44" fontId="6" fillId="5" borderId="6" xfId="0" applyNumberFormat="1" applyFont="1" applyFill="1" applyBorder="1"/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44" fontId="4" fillId="5" borderId="1" xfId="0" applyNumberFormat="1" applyFont="1" applyFill="1" applyBorder="1"/>
    <xf numFmtId="44" fontId="4" fillId="5" borderId="1" xfId="0" applyNumberFormat="1" applyFont="1" applyFill="1" applyBorder="1" applyAlignment="1">
      <alignment vertical="center"/>
    </xf>
    <xf numFmtId="44" fontId="4" fillId="5" borderId="17" xfId="0" applyNumberFormat="1" applyFont="1" applyFill="1" applyBorder="1"/>
    <xf numFmtId="0" fontId="4" fillId="5" borderId="2" xfId="0" applyFont="1" applyFill="1" applyBorder="1" applyAlignment="1">
      <alignment horizontal="right" vertical="center"/>
    </xf>
    <xf numFmtId="44" fontId="3" fillId="5" borderId="17" xfId="0" applyNumberFormat="1" applyFont="1" applyFill="1" applyBorder="1"/>
    <xf numFmtId="44" fontId="3" fillId="5" borderId="1" xfId="0" applyNumberFormat="1" applyFont="1" applyFill="1" applyBorder="1"/>
    <xf numFmtId="0" fontId="4" fillId="2" borderId="18" xfId="0" applyFont="1" applyFill="1" applyBorder="1" applyAlignment="1">
      <alignment horizontal="right"/>
    </xf>
    <xf numFmtId="44" fontId="3" fillId="2" borderId="19" xfId="0" applyNumberFormat="1" applyFont="1" applyFill="1" applyBorder="1"/>
    <xf numFmtId="0" fontId="8" fillId="0" borderId="0" xfId="0" applyFont="1"/>
    <xf numFmtId="0" fontId="4" fillId="4" borderId="3" xfId="0" applyFont="1" applyFill="1" applyBorder="1"/>
    <xf numFmtId="44" fontId="4" fillId="4" borderId="4" xfId="0" applyNumberFormat="1" applyFont="1" applyFill="1" applyBorder="1"/>
    <xf numFmtId="44" fontId="4" fillId="4" borderId="4" xfId="0" applyNumberFormat="1" applyFont="1" applyFill="1" applyBorder="1" applyAlignment="1">
      <alignment vertical="center"/>
    </xf>
    <xf numFmtId="44" fontId="4" fillId="4" borderId="22" xfId="0" applyNumberFormat="1" applyFont="1" applyFill="1" applyBorder="1"/>
    <xf numFmtId="0" fontId="4" fillId="4" borderId="2" xfId="0" applyFont="1" applyFill="1" applyBorder="1"/>
    <xf numFmtId="44" fontId="4" fillId="4" borderId="1" xfId="0" applyNumberFormat="1" applyFont="1" applyFill="1" applyBorder="1"/>
    <xf numFmtId="44" fontId="4" fillId="4" borderId="1" xfId="0" applyNumberFormat="1" applyFont="1" applyFill="1" applyBorder="1" applyAlignment="1">
      <alignment vertical="center"/>
    </xf>
    <xf numFmtId="44" fontId="4" fillId="4" borderId="17" xfId="0" applyNumberFormat="1" applyFont="1" applyFill="1" applyBorder="1"/>
    <xf numFmtId="0" fontId="4" fillId="4" borderId="7" xfId="0" applyFont="1" applyFill="1" applyBorder="1"/>
    <xf numFmtId="44" fontId="4" fillId="4" borderId="8" xfId="0" applyNumberFormat="1" applyFont="1" applyFill="1" applyBorder="1"/>
    <xf numFmtId="44" fontId="4" fillId="4" borderId="8" xfId="0" applyNumberFormat="1" applyFont="1" applyFill="1" applyBorder="1" applyAlignment="1">
      <alignment vertical="center"/>
    </xf>
    <xf numFmtId="44" fontId="4" fillId="4" borderId="23" xfId="0" applyNumberFormat="1" applyFont="1" applyFill="1" applyBorder="1"/>
    <xf numFmtId="0" fontId="4" fillId="0" borderId="15" xfId="0" applyFont="1" applyBorder="1"/>
    <xf numFmtId="44" fontId="4" fillId="0" borderId="0" xfId="0" applyNumberFormat="1" applyFont="1"/>
    <xf numFmtId="44" fontId="4" fillId="0" borderId="0" xfId="0" applyNumberFormat="1" applyFont="1" applyFill="1"/>
    <xf numFmtId="44" fontId="4" fillId="0" borderId="0" xfId="0" applyNumberFormat="1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vertical="center"/>
    </xf>
    <xf numFmtId="44" fontId="9" fillId="3" borderId="22" xfId="0" applyNumberFormat="1" applyFont="1" applyFill="1" applyBorder="1"/>
    <xf numFmtId="44" fontId="9" fillId="3" borderId="17" xfId="0" applyNumberFormat="1" applyFont="1" applyFill="1" applyBorder="1"/>
    <xf numFmtId="0" fontId="5" fillId="0" borderId="12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44" fontId="5" fillId="6" borderId="10" xfId="0" applyNumberFormat="1" applyFont="1" applyFill="1" applyBorder="1"/>
    <xf numFmtId="44" fontId="5" fillId="6" borderId="0" xfId="0" applyNumberFormat="1" applyFont="1" applyFill="1" applyBorder="1"/>
    <xf numFmtId="44" fontId="5" fillId="6" borderId="24" xfId="0" applyNumberFormat="1" applyFont="1" applyFill="1" applyBorder="1"/>
    <xf numFmtId="44" fontId="5" fillId="6" borderId="11" xfId="0" applyNumberFormat="1" applyFont="1" applyFill="1" applyBorder="1"/>
    <xf numFmtId="44" fontId="5" fillId="6" borderId="0" xfId="0" applyNumberFormat="1" applyFont="1" applyFill="1" applyBorder="1" applyAlignment="1">
      <alignment vertical="center"/>
    </xf>
    <xf numFmtId="44" fontId="4" fillId="0" borderId="0" xfId="0" applyNumberFormat="1" applyFont="1" applyFill="1" applyBorder="1"/>
    <xf numFmtId="44" fontId="4" fillId="0" borderId="23" xfId="0" applyNumberFormat="1" applyFont="1" applyFill="1" applyBorder="1"/>
    <xf numFmtId="0" fontId="5" fillId="6" borderId="26" xfId="0" applyFont="1" applyFill="1" applyBorder="1" applyAlignment="1">
      <alignment horizontal="center" vertical="center"/>
    </xf>
    <xf numFmtId="44" fontId="5" fillId="6" borderId="25" xfId="0" applyNumberFormat="1" applyFont="1" applyFill="1" applyBorder="1"/>
    <xf numFmtId="0" fontId="4" fillId="6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5" fillId="4" borderId="5" xfId="0" applyFont="1" applyFill="1" applyBorder="1" applyAlignment="1">
      <alignment horizontal="center" vertical="center"/>
    </xf>
    <xf numFmtId="44" fontId="8" fillId="4" borderId="6" xfId="0" applyNumberFormat="1" applyFont="1" applyFill="1" applyBorder="1"/>
    <xf numFmtId="44" fontId="8" fillId="4" borderId="6" xfId="0" applyNumberFormat="1" applyFont="1" applyFill="1" applyBorder="1" applyAlignment="1">
      <alignment vertical="center"/>
    </xf>
    <xf numFmtId="44" fontId="8" fillId="4" borderId="21" xfId="0" applyNumberFormat="1" applyFont="1" applyFill="1" applyBorder="1"/>
    <xf numFmtId="44" fontId="8" fillId="4" borderId="29" xfId="0" applyNumberFormat="1" applyFont="1" applyFill="1" applyBorder="1"/>
    <xf numFmtId="0" fontId="4" fillId="2" borderId="15" xfId="0" applyFont="1" applyFill="1" applyBorder="1"/>
    <xf numFmtId="44" fontId="4" fillId="2" borderId="0" xfId="0" applyNumberFormat="1" applyFont="1" applyFill="1" applyBorder="1"/>
    <xf numFmtId="44" fontId="4" fillId="2" borderId="0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horizontal="center"/>
    </xf>
    <xf numFmtId="44" fontId="7" fillId="6" borderId="6" xfId="0" applyNumberFormat="1" applyFont="1" applyFill="1" applyBorder="1"/>
    <xf numFmtId="44" fontId="7" fillId="6" borderId="6" xfId="0" applyNumberFormat="1" applyFont="1" applyFill="1" applyBorder="1" applyAlignment="1">
      <alignment vertical="center"/>
    </xf>
    <xf numFmtId="44" fontId="7" fillId="6" borderId="21" xfId="0" applyNumberFormat="1" applyFont="1" applyFill="1" applyBorder="1"/>
    <xf numFmtId="0" fontId="6" fillId="6" borderId="5" xfId="0" applyFont="1" applyFill="1" applyBorder="1"/>
    <xf numFmtId="44" fontId="6" fillId="6" borderId="29" xfId="0" applyNumberFormat="1" applyFont="1" applyFill="1" applyBorder="1"/>
    <xf numFmtId="0" fontId="5" fillId="6" borderId="5" xfId="0" applyFont="1" applyFill="1" applyBorder="1" applyAlignment="1">
      <alignment horizontal="center" vertical="center"/>
    </xf>
    <xf numFmtId="44" fontId="5" fillId="6" borderId="6" xfId="0" applyNumberFormat="1" applyFont="1" applyFill="1" applyBorder="1"/>
    <xf numFmtId="44" fontId="5" fillId="6" borderId="25" xfId="0" applyNumberFormat="1" applyFont="1" applyFill="1" applyBorder="1" applyAlignment="1">
      <alignment horizontal="center" vertical="center"/>
    </xf>
    <xf numFmtId="44" fontId="5" fillId="6" borderId="21" xfId="0" applyNumberFormat="1" applyFont="1" applyFill="1" applyBorder="1"/>
    <xf numFmtId="44" fontId="5" fillId="6" borderId="29" xfId="0" applyNumberFormat="1" applyFont="1" applyFill="1" applyBorder="1"/>
    <xf numFmtId="0" fontId="5" fillId="2" borderId="15" xfId="0" applyFont="1" applyFill="1" applyBorder="1" applyAlignment="1">
      <alignment horizontal="center" vertical="center"/>
    </xf>
    <xf numFmtId="44" fontId="5" fillId="2" borderId="0" xfId="0" applyNumberFormat="1" applyFont="1" applyFill="1" applyBorder="1"/>
    <xf numFmtId="44" fontId="5" fillId="2" borderId="0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44" fontId="5" fillId="5" borderId="6" xfId="0" applyNumberFormat="1" applyFont="1" applyFill="1" applyBorder="1"/>
    <xf numFmtId="44" fontId="5" fillId="5" borderId="6" xfId="0" applyNumberFormat="1" applyFont="1" applyFill="1" applyBorder="1" applyAlignment="1">
      <alignment vertical="center"/>
    </xf>
    <xf numFmtId="44" fontId="5" fillId="5" borderId="21" xfId="0" applyNumberFormat="1" applyFont="1" applyFill="1" applyBorder="1"/>
    <xf numFmtId="0" fontId="4" fillId="2" borderId="15" xfId="0" applyFont="1" applyFill="1" applyBorder="1" applyAlignment="1">
      <alignment horizontal="right"/>
    </xf>
    <xf numFmtId="44" fontId="3" fillId="2" borderId="0" xfId="0" applyNumberFormat="1" applyFont="1" applyFill="1" applyBorder="1"/>
    <xf numFmtId="0" fontId="6" fillId="5" borderId="5" xfId="0" applyFont="1" applyFill="1" applyBorder="1" applyAlignment="1">
      <alignment horizontal="left" vertical="top"/>
    </xf>
    <xf numFmtId="44" fontId="6" fillId="3" borderId="6" xfId="1" applyNumberFormat="1" applyFont="1" applyFill="1" applyBorder="1"/>
    <xf numFmtId="44" fontId="6" fillId="3" borderId="21" xfId="1" applyNumberFormat="1" applyFont="1" applyFill="1" applyBorder="1"/>
    <xf numFmtId="44" fontId="4" fillId="0" borderId="8" xfId="0" applyNumberFormat="1" applyFont="1" applyFill="1" applyBorder="1"/>
    <xf numFmtId="44" fontId="6" fillId="6" borderId="27" xfId="0" applyNumberFormat="1" applyFont="1" applyFill="1" applyBorder="1"/>
    <xf numFmtId="44" fontId="5" fillId="6" borderId="27" xfId="0" applyNumberFormat="1" applyFont="1" applyFill="1" applyBorder="1"/>
    <xf numFmtId="44" fontId="8" fillId="4" borderId="27" xfId="0" applyNumberFormat="1" applyFont="1" applyFill="1" applyBorder="1"/>
    <xf numFmtId="10" fontId="4" fillId="3" borderId="1" xfId="0" applyNumberFormat="1" applyFont="1" applyFill="1" applyBorder="1"/>
    <xf numFmtId="10" fontId="5" fillId="0" borderId="14" xfId="0" applyNumberFormat="1" applyFont="1" applyBorder="1" applyAlignment="1">
      <alignment horizontal="center" vertical="center" wrapText="1"/>
    </xf>
    <xf numFmtId="10" fontId="6" fillId="3" borderId="21" xfId="1" applyNumberFormat="1" applyFont="1" applyFill="1" applyBorder="1"/>
    <xf numFmtId="10" fontId="6" fillId="2" borderId="13" xfId="1" applyNumberFormat="1" applyFont="1" applyFill="1" applyBorder="1"/>
    <xf numFmtId="10" fontId="4" fillId="2" borderId="0" xfId="0" applyNumberFormat="1" applyFont="1" applyFill="1" applyBorder="1"/>
    <xf numFmtId="10" fontId="7" fillId="6" borderId="21" xfId="0" applyNumberFormat="1" applyFont="1" applyFill="1" applyBorder="1"/>
    <xf numFmtId="10" fontId="4" fillId="6" borderId="24" xfId="0" applyNumberFormat="1" applyFont="1" applyFill="1" applyBorder="1"/>
    <xf numFmtId="10" fontId="4" fillId="6" borderId="8" xfId="0" applyNumberFormat="1" applyFont="1" applyFill="1" applyBorder="1"/>
    <xf numFmtId="10" fontId="6" fillId="2" borderId="13" xfId="0" applyNumberFormat="1" applyFont="1" applyFill="1" applyBorder="1"/>
    <xf numFmtId="10" fontId="4" fillId="2" borderId="19" xfId="0" applyNumberFormat="1" applyFont="1" applyFill="1" applyBorder="1"/>
    <xf numFmtId="10" fontId="5" fillId="6" borderId="27" xfId="0" applyNumberFormat="1" applyFont="1" applyFill="1" applyBorder="1"/>
    <xf numFmtId="10" fontId="5" fillId="2" borderId="13" xfId="0" applyNumberFormat="1" applyFont="1" applyFill="1" applyBorder="1"/>
    <xf numFmtId="10" fontId="5" fillId="2" borderId="0" xfId="0" applyNumberFormat="1" applyFont="1" applyFill="1" applyBorder="1"/>
    <xf numFmtId="10" fontId="5" fillId="5" borderId="21" xfId="0" applyNumberFormat="1" applyFont="1" applyFill="1" applyBorder="1"/>
    <xf numFmtId="10" fontId="4" fillId="5" borderId="22" xfId="0" applyNumberFormat="1" applyFont="1" applyFill="1" applyBorder="1"/>
    <xf numFmtId="10" fontId="3" fillId="2" borderId="0" xfId="0" applyNumberFormat="1" applyFont="1" applyFill="1" applyBorder="1"/>
    <xf numFmtId="10" fontId="3" fillId="2" borderId="19" xfId="0" applyNumberFormat="1" applyFont="1" applyFill="1" applyBorder="1"/>
    <xf numFmtId="10" fontId="8" fillId="4" borderId="27" xfId="0" applyNumberFormat="1" applyFont="1" applyFill="1" applyBorder="1"/>
    <xf numFmtId="10" fontId="4" fillId="4" borderId="22" xfId="0" applyNumberFormat="1" applyFont="1" applyFill="1" applyBorder="1"/>
    <xf numFmtId="10" fontId="4" fillId="0" borderId="0" xfId="0" applyNumberFormat="1" applyFont="1" applyBorder="1"/>
    <xf numFmtId="10" fontId="4" fillId="0" borderId="0" xfId="0" applyNumberFormat="1" applyFont="1"/>
    <xf numFmtId="44" fontId="5" fillId="6" borderId="28" xfId="0" applyNumberFormat="1" applyFont="1" applyFill="1" applyBorder="1"/>
    <xf numFmtId="44" fontId="4" fillId="5" borderId="1" xfId="0" applyNumberFormat="1" applyFont="1" applyFill="1" applyBorder="1" applyAlignment="1">
      <alignment horizontal="left"/>
    </xf>
    <xf numFmtId="44" fontId="4" fillId="5" borderId="1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44" fontId="4" fillId="0" borderId="0" xfId="1" applyNumberFormat="1" applyFont="1"/>
    <xf numFmtId="44" fontId="6" fillId="5" borderId="26" xfId="0" applyNumberFormat="1" applyFont="1" applyFill="1" applyBorder="1"/>
    <xf numFmtId="10" fontId="3" fillId="5" borderId="29" xfId="0" applyNumberFormat="1" applyFont="1" applyFill="1" applyBorder="1"/>
    <xf numFmtId="44" fontId="5" fillId="0" borderId="14" xfId="0" applyNumberFormat="1" applyFont="1" applyBorder="1" applyAlignment="1">
      <alignment horizontal="center" vertical="center" wrapText="1"/>
    </xf>
    <xf numFmtId="44" fontId="6" fillId="4" borderId="35" xfId="0" applyNumberFormat="1" applyFont="1" applyFill="1" applyBorder="1"/>
    <xf numFmtId="10" fontId="6" fillId="4" borderId="35" xfId="0" applyNumberFormat="1" applyFont="1" applyFill="1" applyBorder="1"/>
    <xf numFmtId="0" fontId="6" fillId="4" borderId="18" xfId="0" applyFont="1" applyFill="1" applyBorder="1"/>
    <xf numFmtId="44" fontId="6" fillId="4" borderId="19" xfId="0" applyNumberFormat="1" applyFont="1" applyFill="1" applyBorder="1"/>
    <xf numFmtId="10" fontId="6" fillId="4" borderId="19" xfId="0" applyNumberFormat="1" applyFont="1" applyFill="1" applyBorder="1"/>
    <xf numFmtId="0" fontId="4" fillId="4" borderId="26" xfId="0" applyFont="1" applyFill="1" applyBorder="1"/>
    <xf numFmtId="44" fontId="4" fillId="4" borderId="25" xfId="0" applyNumberFormat="1" applyFont="1" applyFill="1" applyBorder="1"/>
    <xf numFmtId="44" fontId="4" fillId="4" borderId="25" xfId="0" applyNumberFormat="1" applyFont="1" applyFill="1" applyBorder="1" applyAlignment="1">
      <alignment vertical="center"/>
    </xf>
    <xf numFmtId="10" fontId="4" fillId="4" borderId="25" xfId="0" applyNumberFormat="1" applyFont="1" applyFill="1" applyBorder="1"/>
    <xf numFmtId="44" fontId="6" fillId="0" borderId="0" xfId="0" applyNumberFormat="1" applyFont="1"/>
    <xf numFmtId="0" fontId="6" fillId="0" borderId="0" xfId="0" applyFont="1" applyFill="1"/>
    <xf numFmtId="0" fontId="6" fillId="0" borderId="0" xfId="0" applyFont="1" applyAlignment="1">
      <alignment vertical="center"/>
    </xf>
    <xf numFmtId="10" fontId="6" fillId="0" borderId="0" xfId="0" applyNumberFormat="1" applyFont="1"/>
    <xf numFmtId="44" fontId="0" fillId="0" borderId="0" xfId="0" applyNumberFormat="1"/>
    <xf numFmtId="10" fontId="4" fillId="6" borderId="21" xfId="0" applyNumberFormat="1" applyFont="1" applyFill="1" applyBorder="1"/>
    <xf numFmtId="10" fontId="8" fillId="6" borderId="27" xfId="0" applyNumberFormat="1" applyFont="1" applyFill="1" applyBorder="1"/>
    <xf numFmtId="0" fontId="10" fillId="0" borderId="0" xfId="0" applyFont="1"/>
    <xf numFmtId="44" fontId="4" fillId="0" borderId="16" xfId="0" applyNumberFormat="1" applyFont="1" applyBorder="1"/>
    <xf numFmtId="44" fontId="4" fillId="0" borderId="36" xfId="0" applyNumberFormat="1" applyFont="1" applyBorder="1"/>
    <xf numFmtId="0" fontId="6" fillId="0" borderId="15" xfId="0" applyFont="1" applyBorder="1"/>
    <xf numFmtId="44" fontId="6" fillId="0" borderId="16" xfId="0" applyNumberFormat="1" applyFont="1" applyBorder="1"/>
    <xf numFmtId="0" fontId="3" fillId="0" borderId="15" xfId="0" applyFont="1" applyBorder="1"/>
    <xf numFmtId="44" fontId="9" fillId="0" borderId="16" xfId="0" applyNumberFormat="1" applyFont="1" applyBorder="1"/>
    <xf numFmtId="44" fontId="9" fillId="0" borderId="36" xfId="0" applyNumberFormat="1" applyFont="1" applyBorder="1"/>
    <xf numFmtId="0" fontId="6" fillId="8" borderId="18" xfId="0" applyFont="1" applyFill="1" applyBorder="1"/>
    <xf numFmtId="44" fontId="3" fillId="8" borderId="20" xfId="0" applyNumberFormat="1" applyFont="1" applyFill="1" applyBorder="1"/>
    <xf numFmtId="0" fontId="3" fillId="8" borderId="26" xfId="0" applyFont="1" applyFill="1" applyBorder="1" applyAlignment="1">
      <alignment horizontal="center"/>
    </xf>
    <xf numFmtId="0" fontId="3" fillId="8" borderId="27" xfId="0" applyFont="1" applyFill="1" applyBorder="1" applyAlignment="1">
      <alignment horizontal="center"/>
    </xf>
    <xf numFmtId="44" fontId="4" fillId="0" borderId="0" xfId="1" applyFont="1"/>
    <xf numFmtId="10" fontId="4" fillId="3" borderId="4" xfId="0" applyNumberFormat="1" applyFont="1" applyFill="1" applyBorder="1"/>
    <xf numFmtId="10" fontId="4" fillId="5" borderId="24" xfId="0" applyNumberFormat="1" applyFont="1" applyFill="1" applyBorder="1"/>
    <xf numFmtId="10" fontId="4" fillId="4" borderId="24" xfId="0" applyNumberFormat="1" applyFont="1" applyFill="1" applyBorder="1"/>
    <xf numFmtId="44" fontId="6" fillId="3" borderId="21" xfId="1" applyFont="1" applyFill="1" applyBorder="1"/>
    <xf numFmtId="44" fontId="6" fillId="2" borderId="13" xfId="1" applyFont="1" applyFill="1" applyBorder="1"/>
    <xf numFmtId="44" fontId="4" fillId="2" borderId="0" xfId="0" applyNumberFormat="1" applyFont="1" applyFill="1"/>
    <xf numFmtId="44" fontId="5" fillId="2" borderId="0" xfId="0" applyNumberFormat="1" applyFont="1" applyFill="1"/>
    <xf numFmtId="44" fontId="3" fillId="2" borderId="0" xfId="0" applyNumberFormat="1" applyFont="1" applyFill="1"/>
    <xf numFmtId="44" fontId="6" fillId="4" borderId="6" xfId="0" applyNumberFormat="1" applyFont="1" applyFill="1" applyBorder="1"/>
    <xf numFmtId="0" fontId="6" fillId="4" borderId="0" xfId="0" applyFont="1" applyFill="1"/>
    <xf numFmtId="44" fontId="5" fillId="3" borderId="26" xfId="0" applyNumberFormat="1" applyFont="1" applyFill="1" applyBorder="1" applyAlignment="1">
      <alignment horizontal="center" wrapText="1"/>
    </xf>
    <xf numFmtId="10" fontId="5" fillId="3" borderId="21" xfId="0" applyNumberFormat="1" applyFont="1" applyFill="1" applyBorder="1" applyAlignment="1">
      <alignment horizontal="center" wrapText="1"/>
    </xf>
    <xf numFmtId="44" fontId="5" fillId="3" borderId="29" xfId="0" applyNumberFormat="1" applyFont="1" applyFill="1" applyBorder="1" applyAlignment="1">
      <alignment horizontal="center" wrapText="1"/>
    </xf>
    <xf numFmtId="44" fontId="4" fillId="4" borderId="24" xfId="0" applyNumberFormat="1" applyFont="1" applyFill="1" applyBorder="1"/>
    <xf numFmtId="0" fontId="6" fillId="4" borderId="9" xfId="0" applyFont="1" applyFill="1" applyBorder="1"/>
    <xf numFmtId="44" fontId="6" fillId="4" borderId="10" xfId="0" applyNumberFormat="1" applyFont="1" applyFill="1" applyBorder="1"/>
    <xf numFmtId="44" fontId="4" fillId="0" borderId="1" xfId="0" applyNumberFormat="1" applyFont="1" applyFill="1" applyBorder="1"/>
    <xf numFmtId="44" fontId="4" fillId="5" borderId="0" xfId="0" applyNumberFormat="1" applyFont="1" applyFill="1" applyBorder="1" applyAlignment="1">
      <alignment horizontal="left"/>
    </xf>
    <xf numFmtId="10" fontId="4" fillId="5" borderId="0" xfId="0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4" fontId="4" fillId="5" borderId="31" xfId="0" applyNumberFormat="1" applyFont="1" applyFill="1" applyBorder="1"/>
    <xf numFmtId="0" fontId="3" fillId="0" borderId="0" xfId="0" applyFont="1" applyFill="1" applyBorder="1" applyAlignment="1">
      <alignment horizontal="center"/>
    </xf>
    <xf numFmtId="44" fontId="5" fillId="3" borderId="25" xfId="0" applyNumberFormat="1" applyFont="1" applyFill="1" applyBorder="1" applyAlignment="1">
      <alignment horizontal="center" wrapText="1"/>
    </xf>
    <xf numFmtId="44" fontId="4" fillId="3" borderId="39" xfId="0" applyNumberFormat="1" applyFont="1" applyFill="1" applyBorder="1"/>
    <xf numFmtId="44" fontId="4" fillId="3" borderId="30" xfId="0" applyNumberFormat="1" applyFont="1" applyFill="1" applyBorder="1"/>
    <xf numFmtId="44" fontId="4" fillId="3" borderId="40" xfId="0" applyNumberFormat="1" applyFont="1" applyFill="1" applyBorder="1"/>
    <xf numFmtId="44" fontId="4" fillId="3" borderId="31" xfId="0" applyNumberFormat="1" applyFont="1" applyFill="1" applyBorder="1"/>
    <xf numFmtId="44" fontId="6" fillId="3" borderId="25" xfId="0" applyNumberFormat="1" applyFont="1" applyFill="1" applyBorder="1"/>
    <xf numFmtId="44" fontId="9" fillId="3" borderId="39" xfId="0" applyNumberFormat="1" applyFont="1" applyFill="1" applyBorder="1"/>
    <xf numFmtId="44" fontId="9" fillId="3" borderId="30" xfId="0" applyNumberFormat="1" applyFont="1" applyFill="1" applyBorder="1"/>
    <xf numFmtId="44" fontId="6" fillId="3" borderId="25" xfId="1" applyNumberFormat="1" applyFont="1" applyFill="1" applyBorder="1"/>
    <xf numFmtId="44" fontId="7" fillId="6" borderId="25" xfId="0" applyNumberFormat="1" applyFont="1" applyFill="1" applyBorder="1"/>
    <xf numFmtId="44" fontId="6" fillId="6" borderId="25" xfId="0" applyNumberFormat="1" applyFont="1" applyFill="1" applyBorder="1"/>
    <xf numFmtId="44" fontId="4" fillId="6" borderId="39" xfId="0" applyNumberFormat="1" applyFont="1" applyFill="1" applyBorder="1"/>
    <xf numFmtId="44" fontId="4" fillId="6" borderId="30" xfId="0" applyNumberFormat="1" applyFont="1" applyFill="1" applyBorder="1"/>
    <xf numFmtId="44" fontId="4" fillId="6" borderId="40" xfId="0" applyNumberFormat="1" applyFont="1" applyFill="1" applyBorder="1"/>
    <xf numFmtId="44" fontId="4" fillId="6" borderId="42" xfId="0" applyNumberFormat="1" applyFont="1" applyFill="1" applyBorder="1"/>
    <xf numFmtId="44" fontId="5" fillId="6" borderId="16" xfId="0" applyNumberFormat="1" applyFont="1" applyFill="1" applyBorder="1"/>
    <xf numFmtId="44" fontId="5" fillId="5" borderId="25" xfId="0" applyNumberFormat="1" applyFont="1" applyFill="1" applyBorder="1"/>
    <xf numFmtId="44" fontId="4" fillId="5" borderId="39" xfId="0" applyNumberFormat="1" applyFont="1" applyFill="1" applyBorder="1"/>
    <xf numFmtId="44" fontId="3" fillId="5" borderId="39" xfId="0" applyNumberFormat="1" applyFont="1" applyFill="1" applyBorder="1"/>
    <xf numFmtId="44" fontId="4" fillId="5" borderId="30" xfId="0" applyNumberFormat="1" applyFont="1" applyFill="1" applyBorder="1"/>
    <xf numFmtId="44" fontId="3" fillId="5" borderId="30" xfId="0" applyNumberFormat="1" applyFont="1" applyFill="1" applyBorder="1"/>
    <xf numFmtId="44" fontId="6" fillId="5" borderId="25" xfId="0" applyNumberFormat="1" applyFont="1" applyFill="1" applyBorder="1"/>
    <xf numFmtId="44" fontId="4" fillId="4" borderId="39" xfId="0" applyNumberFormat="1" applyFont="1" applyFill="1" applyBorder="1"/>
    <xf numFmtId="44" fontId="4" fillId="4" borderId="30" xfId="0" applyNumberFormat="1" applyFont="1" applyFill="1" applyBorder="1"/>
    <xf numFmtId="44" fontId="4" fillId="4" borderId="31" xfId="0" applyNumberFormat="1" applyFont="1" applyFill="1" applyBorder="1"/>
    <xf numFmtId="44" fontId="4" fillId="4" borderId="0" xfId="0" applyNumberFormat="1" applyFont="1" applyFill="1" applyBorder="1"/>
    <xf numFmtId="44" fontId="6" fillId="4" borderId="13" xfId="0" applyNumberFormat="1" applyFont="1" applyFill="1" applyBorder="1"/>
    <xf numFmtId="49" fontId="5" fillId="0" borderId="14" xfId="0" applyNumberFormat="1" applyFont="1" applyBorder="1" applyAlignment="1">
      <alignment horizontal="center" vertical="center" wrapText="1"/>
    </xf>
    <xf numFmtId="44" fontId="4" fillId="3" borderId="32" xfId="0" applyNumberFormat="1" applyFont="1" applyFill="1" applyBorder="1"/>
    <xf numFmtId="44" fontId="4" fillId="3" borderId="33" xfId="0" applyNumberFormat="1" applyFont="1" applyFill="1" applyBorder="1"/>
    <xf numFmtId="44" fontId="4" fillId="3" borderId="43" xfId="0" applyNumberFormat="1" applyFont="1" applyFill="1" applyBorder="1"/>
    <xf numFmtId="44" fontId="6" fillId="3" borderId="29" xfId="0" applyNumberFormat="1" applyFont="1" applyFill="1" applyBorder="1"/>
    <xf numFmtId="44" fontId="6" fillId="3" borderId="29" xfId="1" applyNumberFormat="1" applyFont="1" applyFill="1" applyBorder="1"/>
    <xf numFmtId="44" fontId="6" fillId="2" borderId="14" xfId="1" applyNumberFormat="1" applyFont="1" applyFill="1" applyBorder="1"/>
    <xf numFmtId="44" fontId="4" fillId="2" borderId="16" xfId="0" applyNumberFormat="1" applyFont="1" applyFill="1" applyBorder="1"/>
    <xf numFmtId="44" fontId="7" fillId="6" borderId="29" xfId="0" applyNumberFormat="1" applyFont="1" applyFill="1" applyBorder="1"/>
    <xf numFmtId="44" fontId="4" fillId="6" borderId="11" xfId="0" applyNumberFormat="1" applyFont="1" applyFill="1" applyBorder="1"/>
    <xf numFmtId="44" fontId="4" fillId="6" borderId="32" xfId="0" applyNumberFormat="1" applyFont="1" applyFill="1" applyBorder="1"/>
    <xf numFmtId="44" fontId="4" fillId="6" borderId="33" xfId="0" applyNumberFormat="1" applyFont="1" applyFill="1" applyBorder="1"/>
    <xf numFmtId="44" fontId="4" fillId="6" borderId="43" xfId="0" applyNumberFormat="1" applyFont="1" applyFill="1" applyBorder="1"/>
    <xf numFmtId="44" fontId="6" fillId="2" borderId="14" xfId="0" applyNumberFormat="1" applyFont="1" applyFill="1" applyBorder="1"/>
    <xf numFmtId="44" fontId="4" fillId="2" borderId="20" xfId="0" applyNumberFormat="1" applyFont="1" applyFill="1" applyBorder="1"/>
    <xf numFmtId="44" fontId="5" fillId="2" borderId="14" xfId="0" applyNumberFormat="1" applyFont="1" applyFill="1" applyBorder="1"/>
    <xf numFmtId="44" fontId="5" fillId="2" borderId="16" xfId="0" applyNumberFormat="1" applyFont="1" applyFill="1" applyBorder="1"/>
    <xf numFmtId="44" fontId="5" fillId="5" borderId="29" xfId="0" applyNumberFormat="1" applyFont="1" applyFill="1" applyBorder="1"/>
    <xf numFmtId="44" fontId="4" fillId="5" borderId="32" xfId="0" applyNumberFormat="1" applyFont="1" applyFill="1" applyBorder="1"/>
    <xf numFmtId="44" fontId="4" fillId="5" borderId="33" xfId="0" applyNumberFormat="1" applyFont="1" applyFill="1" applyBorder="1"/>
    <xf numFmtId="0" fontId="4" fillId="5" borderId="2" xfId="0" applyFont="1" applyFill="1" applyBorder="1" applyAlignment="1">
      <alignment horizontal="left"/>
    </xf>
    <xf numFmtId="44" fontId="4" fillId="5" borderId="33" xfId="0" applyNumberFormat="1" applyFont="1" applyFill="1" applyBorder="1" applyAlignment="1">
      <alignment horizontal="left"/>
    </xf>
    <xf numFmtId="44" fontId="4" fillId="5" borderId="43" xfId="0" applyNumberFormat="1" applyFont="1" applyFill="1" applyBorder="1"/>
    <xf numFmtId="44" fontId="6" fillId="5" borderId="29" xfId="0" applyNumberFormat="1" applyFont="1" applyFill="1" applyBorder="1"/>
    <xf numFmtId="44" fontId="4" fillId="4" borderId="32" xfId="0" applyNumberFormat="1" applyFont="1" applyFill="1" applyBorder="1"/>
    <xf numFmtId="44" fontId="4" fillId="4" borderId="33" xfId="0" applyNumberFormat="1" applyFont="1" applyFill="1" applyBorder="1"/>
    <xf numFmtId="44" fontId="4" fillId="4" borderId="43" xfId="0" applyNumberFormat="1" applyFont="1" applyFill="1" applyBorder="1"/>
    <xf numFmtId="44" fontId="6" fillId="4" borderId="11" xfId="0" applyNumberFormat="1" applyFont="1" applyFill="1" applyBorder="1"/>
    <xf numFmtId="44" fontId="4" fillId="4" borderId="27" xfId="0" applyNumberFormat="1" applyFont="1" applyFill="1" applyBorder="1"/>
    <xf numFmtId="44" fontId="6" fillId="4" borderId="20" xfId="0" applyNumberFormat="1" applyFont="1" applyFill="1" applyBorder="1"/>
    <xf numFmtId="44" fontId="3" fillId="0" borderId="0" xfId="0" applyNumberFormat="1" applyFont="1"/>
    <xf numFmtId="44" fontId="3" fillId="0" borderId="39" xfId="0" applyNumberFormat="1" applyFont="1" applyBorder="1" applyAlignment="1">
      <alignment horizontal="right"/>
    </xf>
    <xf numFmtId="44" fontId="3" fillId="0" borderId="0" xfId="0" applyNumberFormat="1" applyFont="1" applyAlignment="1">
      <alignment horizontal="right"/>
    </xf>
    <xf numFmtId="0" fontId="6" fillId="4" borderId="15" xfId="0" applyFont="1" applyFill="1" applyBorder="1"/>
    <xf numFmtId="44" fontId="6" fillId="4" borderId="0" xfId="0" applyNumberFormat="1" applyFont="1" applyFill="1" applyBorder="1"/>
    <xf numFmtId="10" fontId="6" fillId="4" borderId="0" xfId="0" applyNumberFormat="1" applyFont="1" applyFill="1" applyBorder="1"/>
    <xf numFmtId="44" fontId="6" fillId="0" borderId="0" xfId="0" applyNumberFormat="1" applyFont="1" applyFill="1" applyBorder="1"/>
    <xf numFmtId="44" fontId="6" fillId="4" borderId="0" xfId="0" applyNumberFormat="1" applyFont="1" applyFill="1" applyBorder="1" applyAlignment="1">
      <alignment vertical="center"/>
    </xf>
    <xf numFmtId="44" fontId="5" fillId="6" borderId="44" xfId="0" applyNumberFormat="1" applyFont="1" applyFill="1" applyBorder="1" applyAlignment="1">
      <alignment horizontal="center"/>
    </xf>
    <xf numFmtId="44" fontId="3" fillId="6" borderId="41" xfId="0" applyNumberFormat="1" applyFont="1" applyFill="1" applyBorder="1" applyAlignment="1">
      <alignment horizontal="center"/>
    </xf>
    <xf numFmtId="44" fontId="6" fillId="6" borderId="44" xfId="0" applyNumberFormat="1" applyFont="1" applyFill="1" applyBorder="1" applyAlignment="1">
      <alignment horizontal="left"/>
    </xf>
    <xf numFmtId="44" fontId="4" fillId="6" borderId="45" xfId="0" applyNumberFormat="1" applyFont="1" applyFill="1" applyBorder="1" applyAlignment="1">
      <alignment horizontal="right"/>
    </xf>
    <xf numFmtId="44" fontId="4" fillId="6" borderId="40" xfId="0" applyNumberFormat="1" applyFont="1" applyFill="1" applyBorder="1" applyAlignment="1">
      <alignment horizontal="right"/>
    </xf>
    <xf numFmtId="44" fontId="6" fillId="6" borderId="44" xfId="0" applyNumberFormat="1" applyFont="1" applyFill="1" applyBorder="1"/>
    <xf numFmtId="44" fontId="5" fillId="6" borderId="41" xfId="0" applyNumberFormat="1" applyFont="1" applyFill="1" applyBorder="1" applyAlignment="1">
      <alignment horizontal="center" vertical="center"/>
    </xf>
    <xf numFmtId="44" fontId="5" fillId="2" borderId="13" xfId="0" applyNumberFormat="1" applyFont="1" applyFill="1" applyBorder="1" applyAlignment="1">
      <alignment horizontal="center" vertical="center"/>
    </xf>
    <xf numFmtId="44" fontId="5" fillId="2" borderId="0" xfId="0" applyNumberFormat="1" applyFont="1" applyFill="1" applyBorder="1" applyAlignment="1">
      <alignment horizontal="center" vertical="center"/>
    </xf>
    <xf numFmtId="44" fontId="5" fillId="5" borderId="44" xfId="0" applyNumberFormat="1" applyFont="1" applyFill="1" applyBorder="1" applyAlignment="1">
      <alignment horizontal="center" vertical="center"/>
    </xf>
    <xf numFmtId="44" fontId="4" fillId="5" borderId="45" xfId="0" applyNumberFormat="1" applyFont="1" applyFill="1" applyBorder="1" applyAlignment="1">
      <alignment horizontal="left" vertical="center"/>
    </xf>
    <xf numFmtId="44" fontId="4" fillId="5" borderId="40" xfId="0" applyNumberFormat="1" applyFont="1" applyFill="1" applyBorder="1" applyAlignment="1">
      <alignment horizontal="left" vertical="center"/>
    </xf>
    <xf numFmtId="44" fontId="4" fillId="5" borderId="40" xfId="0" applyNumberFormat="1" applyFont="1" applyFill="1" applyBorder="1" applyAlignment="1">
      <alignment horizontal="left"/>
    </xf>
    <xf numFmtId="44" fontId="4" fillId="5" borderId="45" xfId="0" applyNumberFormat="1" applyFont="1" applyFill="1" applyBorder="1" applyAlignment="1">
      <alignment horizontal="right"/>
    </xf>
    <xf numFmtId="44" fontId="4" fillId="5" borderId="40" xfId="0" applyNumberFormat="1" applyFont="1" applyFill="1" applyBorder="1" applyAlignment="1">
      <alignment horizontal="right"/>
    </xf>
    <xf numFmtId="44" fontId="4" fillId="5" borderId="40" xfId="0" applyNumberFormat="1" applyFont="1" applyFill="1" applyBorder="1" applyAlignment="1">
      <alignment horizontal="right" vertical="center"/>
    </xf>
    <xf numFmtId="44" fontId="4" fillId="5" borderId="42" xfId="0" applyNumberFormat="1" applyFont="1" applyFill="1" applyBorder="1" applyAlignment="1">
      <alignment horizontal="left"/>
    </xf>
    <xf numFmtId="44" fontId="6" fillId="5" borderId="44" xfId="0" applyNumberFormat="1" applyFont="1" applyFill="1" applyBorder="1" applyAlignment="1">
      <alignment horizontal="left" vertical="top"/>
    </xf>
    <xf numFmtId="44" fontId="4" fillId="2" borderId="0" xfId="0" applyNumberFormat="1" applyFont="1" applyFill="1" applyBorder="1" applyAlignment="1">
      <alignment horizontal="right"/>
    </xf>
    <xf numFmtId="44" fontId="4" fillId="2" borderId="19" xfId="0" applyNumberFormat="1" applyFont="1" applyFill="1" applyBorder="1" applyAlignment="1">
      <alignment horizontal="right"/>
    </xf>
    <xf numFmtId="44" fontId="5" fillId="4" borderId="44" xfId="0" applyNumberFormat="1" applyFont="1" applyFill="1" applyBorder="1" applyAlignment="1">
      <alignment horizontal="center" vertical="center"/>
    </xf>
    <xf numFmtId="44" fontId="4" fillId="4" borderId="45" xfId="0" applyNumberFormat="1" applyFont="1" applyFill="1" applyBorder="1"/>
    <xf numFmtId="44" fontId="4" fillId="4" borderId="40" xfId="0" applyNumberFormat="1" applyFont="1" applyFill="1" applyBorder="1"/>
    <xf numFmtId="44" fontId="4" fillId="4" borderId="42" xfId="0" applyNumberFormat="1" applyFont="1" applyFill="1" applyBorder="1"/>
    <xf numFmtId="0" fontId="3" fillId="4" borderId="2" xfId="0" applyFont="1" applyFill="1" applyBorder="1"/>
    <xf numFmtId="44" fontId="3" fillId="4" borderId="40" xfId="0" applyNumberFormat="1" applyFont="1" applyFill="1" applyBorder="1"/>
    <xf numFmtId="44" fontId="3" fillId="4" borderId="33" xfId="0" applyNumberFormat="1" applyFont="1" applyFill="1" applyBorder="1"/>
    <xf numFmtId="0" fontId="3" fillId="4" borderId="5" xfId="0" applyFont="1" applyFill="1" applyBorder="1"/>
    <xf numFmtId="44" fontId="3" fillId="4" borderId="44" xfId="0" applyNumberFormat="1" applyFont="1" applyFill="1" applyBorder="1"/>
    <xf numFmtId="44" fontId="3" fillId="4" borderId="29" xfId="0" applyNumberFormat="1" applyFont="1" applyFill="1" applyBorder="1"/>
    <xf numFmtId="44" fontId="4" fillId="9" borderId="32" xfId="0" applyNumberFormat="1" applyFont="1" applyFill="1" applyBorder="1"/>
    <xf numFmtId="44" fontId="4" fillId="9" borderId="33" xfId="0" applyNumberFormat="1" applyFont="1" applyFill="1" applyBorder="1"/>
    <xf numFmtId="49" fontId="5" fillId="0" borderId="0" xfId="0" applyNumberFormat="1" applyFont="1" applyAlignment="1">
      <alignment horizontal="center" vertical="center" wrapText="1"/>
    </xf>
    <xf numFmtId="0" fontId="4" fillId="6" borderId="2" xfId="0" applyFont="1" applyFill="1" applyBorder="1" applyAlignment="1">
      <alignment horizontal="left"/>
    </xf>
    <xf numFmtId="0" fontId="11" fillId="3" borderId="3" xfId="0" applyFont="1" applyFill="1" applyBorder="1"/>
    <xf numFmtId="44" fontId="5" fillId="3" borderId="44" xfId="0" applyNumberFormat="1" applyFont="1" applyFill="1" applyBorder="1" applyAlignment="1">
      <alignment horizontal="center" wrapText="1"/>
    </xf>
    <xf numFmtId="44" fontId="7" fillId="6" borderId="44" xfId="0" applyNumberFormat="1" applyFont="1" applyFill="1" applyBorder="1"/>
    <xf numFmtId="44" fontId="4" fillId="6" borderId="41" xfId="0" applyNumberFormat="1" applyFont="1" applyFill="1" applyBorder="1"/>
    <xf numFmtId="44" fontId="4" fillId="6" borderId="45" xfId="0" applyNumberFormat="1" applyFont="1" applyFill="1" applyBorder="1"/>
    <xf numFmtId="44" fontId="5" fillId="6" borderId="41" xfId="0" applyNumberFormat="1" applyFont="1" applyFill="1" applyBorder="1"/>
    <xf numFmtId="44" fontId="5" fillId="5" borderId="44" xfId="0" applyNumberFormat="1" applyFont="1" applyFill="1" applyBorder="1"/>
    <xf numFmtId="44" fontId="4" fillId="5" borderId="45" xfId="0" applyNumberFormat="1" applyFont="1" applyFill="1" applyBorder="1"/>
    <xf numFmtId="44" fontId="3" fillId="5" borderId="40" xfId="0" applyNumberFormat="1" applyFont="1" applyFill="1" applyBorder="1"/>
    <xf numFmtId="44" fontId="4" fillId="5" borderId="40" xfId="0" applyNumberFormat="1" applyFont="1" applyFill="1" applyBorder="1"/>
    <xf numFmtId="44" fontId="4" fillId="5" borderId="42" xfId="0" applyNumberFormat="1" applyFont="1" applyFill="1" applyBorder="1"/>
    <xf numFmtId="44" fontId="6" fillId="5" borderId="44" xfId="0" applyNumberFormat="1" applyFont="1" applyFill="1" applyBorder="1"/>
    <xf numFmtId="44" fontId="8" fillId="4" borderId="44" xfId="0" applyNumberFormat="1" applyFont="1" applyFill="1" applyBorder="1"/>
    <xf numFmtId="44" fontId="5" fillId="6" borderId="46" xfId="0" applyNumberFormat="1" applyFont="1" applyFill="1" applyBorder="1"/>
    <xf numFmtId="44" fontId="5" fillId="6" borderId="46" xfId="0" applyNumberFormat="1" applyFont="1" applyFill="1" applyBorder="1" applyAlignment="1">
      <alignment horizontal="center" vertical="center"/>
    </xf>
    <xf numFmtId="44" fontId="5" fillId="6" borderId="1" xfId="0" applyNumberFormat="1" applyFont="1" applyFill="1" applyBorder="1"/>
    <xf numFmtId="44" fontId="5" fillId="6" borderId="1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left" vertical="center"/>
    </xf>
    <xf numFmtId="0" fontId="14" fillId="0" borderId="0" xfId="0" applyFont="1"/>
    <xf numFmtId="44" fontId="14" fillId="0" borderId="0" xfId="0" applyNumberFormat="1" applyFont="1"/>
    <xf numFmtId="44" fontId="14" fillId="0" borderId="0" xfId="1" applyFont="1"/>
    <xf numFmtId="44" fontId="14" fillId="0" borderId="28" xfId="0" applyNumberFormat="1" applyFont="1" applyBorder="1"/>
    <xf numFmtId="0" fontId="15" fillId="0" borderId="47" xfId="0" applyFont="1" applyBorder="1"/>
    <xf numFmtId="44" fontId="14" fillId="0" borderId="48" xfId="0" applyNumberFormat="1" applyFont="1" applyBorder="1"/>
    <xf numFmtId="0" fontId="15" fillId="0" borderId="2" xfId="0" applyFont="1" applyBorder="1"/>
    <xf numFmtId="44" fontId="14" fillId="0" borderId="43" xfId="0" applyNumberFormat="1" applyFont="1" applyBorder="1"/>
    <xf numFmtId="0" fontId="15" fillId="0" borderId="38" xfId="0" applyFont="1" applyBorder="1"/>
    <xf numFmtId="44" fontId="14" fillId="0" borderId="32" xfId="0" applyNumberFormat="1" applyFont="1" applyBorder="1"/>
    <xf numFmtId="44" fontId="14" fillId="0" borderId="34" xfId="0" applyNumberFormat="1" applyFont="1" applyBorder="1"/>
    <xf numFmtId="0" fontId="15" fillId="0" borderId="50" xfId="0" applyFont="1" applyBorder="1"/>
    <xf numFmtId="164" fontId="0" fillId="0" borderId="0" xfId="0" applyNumberFormat="1"/>
    <xf numFmtId="44" fontId="5" fillId="6" borderId="4" xfId="0" applyNumberFormat="1" applyFont="1" applyFill="1" applyBorder="1"/>
    <xf numFmtId="44" fontId="5" fillId="6" borderId="51" xfId="0" applyNumberFormat="1" applyFont="1" applyFill="1" applyBorder="1"/>
    <xf numFmtId="0" fontId="16" fillId="7" borderId="52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 wrapText="1"/>
    </xf>
    <xf numFmtId="0" fontId="16" fillId="11" borderId="52" xfId="0" applyFont="1" applyFill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left" vertical="center" wrapText="1"/>
    </xf>
    <xf numFmtId="164" fontId="17" fillId="0" borderId="52" xfId="1" applyNumberFormat="1" applyFont="1" applyFill="1" applyBorder="1" applyAlignment="1">
      <alignment horizontal="center" vertical="center"/>
    </xf>
    <xf numFmtId="164" fontId="16" fillId="12" borderId="52" xfId="1" applyNumberFormat="1" applyFont="1" applyFill="1" applyBorder="1" applyAlignment="1">
      <alignment horizontal="center" vertical="center"/>
    </xf>
    <xf numFmtId="44" fontId="11" fillId="3" borderId="4" xfId="0" applyNumberFormat="1" applyFont="1" applyFill="1" applyBorder="1"/>
    <xf numFmtId="44" fontId="6" fillId="3" borderId="49" xfId="0" applyNumberFormat="1" applyFont="1" applyFill="1" applyBorder="1"/>
    <xf numFmtId="44" fontId="11" fillId="6" borderId="40" xfId="0" applyNumberFormat="1" applyFont="1" applyFill="1" applyBorder="1"/>
    <xf numFmtId="44" fontId="4" fillId="3" borderId="51" xfId="0" applyNumberFormat="1" applyFont="1" applyFill="1" applyBorder="1"/>
    <xf numFmtId="0" fontId="12" fillId="0" borderId="19" xfId="0" applyFont="1" applyBorder="1" applyAlignment="1">
      <alignment horizontal="center"/>
    </xf>
    <xf numFmtId="0" fontId="13" fillId="10" borderId="52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/>
    </xf>
    <xf numFmtId="165" fontId="4" fillId="3" borderId="30" xfId="0" applyNumberFormat="1" applyFont="1" applyFill="1" applyBorder="1" applyAlignment="1">
      <alignment horizontal="left"/>
    </xf>
    <xf numFmtId="44" fontId="6" fillId="3" borderId="44" xfId="0" applyNumberFormat="1" applyFont="1" applyFill="1" applyBorder="1"/>
    <xf numFmtId="44" fontId="6" fillId="3" borderId="44" xfId="1" applyNumberFormat="1" applyFont="1" applyFill="1" applyBorder="1"/>
    <xf numFmtId="44" fontId="4" fillId="6" borderId="31" xfId="0" applyNumberFormat="1" applyFont="1" applyFill="1" applyBorder="1"/>
    <xf numFmtId="44" fontId="7" fillId="6" borderId="13" xfId="0" applyNumberFormat="1" applyFont="1" applyFill="1" applyBorder="1"/>
    <xf numFmtId="6" fontId="4" fillId="5" borderId="40" xfId="0" applyNumberFormat="1" applyFont="1" applyFill="1" applyBorder="1" applyAlignment="1">
      <alignment horizontal="left"/>
    </xf>
    <xf numFmtId="44" fontId="4" fillId="5" borderId="44" xfId="0" applyNumberFormat="1" applyFont="1" applyFill="1" applyBorder="1"/>
    <xf numFmtId="44" fontId="8" fillId="4" borderId="25" xfId="0" applyNumberFormat="1" applyFont="1" applyFill="1" applyBorder="1"/>
    <xf numFmtId="44" fontId="5" fillId="3" borderId="27" xfId="0" applyNumberFormat="1" applyFont="1" applyFill="1" applyBorder="1" applyAlignment="1">
      <alignment horizontal="center"/>
    </xf>
    <xf numFmtId="44" fontId="5" fillId="6" borderId="27" xfId="0" applyNumberFormat="1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44" fontId="6" fillId="6" borderId="27" xfId="0" applyNumberFormat="1" applyFont="1" applyFill="1" applyBorder="1" applyAlignment="1">
      <alignment horizontal="left"/>
    </xf>
    <xf numFmtId="44" fontId="4" fillId="6" borderId="37" xfId="0" applyNumberFormat="1" applyFont="1" applyFill="1" applyBorder="1" applyAlignment="1">
      <alignment horizontal="right"/>
    </xf>
    <xf numFmtId="44" fontId="4" fillId="6" borderId="53" xfId="0" applyNumberFormat="1" applyFont="1" applyFill="1" applyBorder="1" applyAlignment="1">
      <alignment horizontal="right"/>
    </xf>
    <xf numFmtId="44" fontId="5" fillId="6" borderId="32" xfId="0" applyNumberFormat="1" applyFont="1" applyFill="1" applyBorder="1" applyAlignment="1">
      <alignment horizontal="center" vertical="center"/>
    </xf>
    <xf numFmtId="44" fontId="5" fillId="2" borderId="16" xfId="0" applyNumberFormat="1" applyFont="1" applyFill="1" applyBorder="1" applyAlignment="1">
      <alignment horizontal="center" vertical="center"/>
    </xf>
    <xf numFmtId="44" fontId="5" fillId="5" borderId="27" xfId="0" applyNumberFormat="1" applyFont="1" applyFill="1" applyBorder="1" applyAlignment="1">
      <alignment horizontal="center" vertical="center"/>
    </xf>
    <xf numFmtId="44" fontId="4" fillId="5" borderId="37" xfId="0" applyNumberFormat="1" applyFont="1" applyFill="1" applyBorder="1" applyAlignment="1">
      <alignment horizontal="left" vertical="center"/>
    </xf>
    <xf numFmtId="44" fontId="6" fillId="5" borderId="27" xfId="0" applyNumberFormat="1" applyFont="1" applyFill="1" applyBorder="1" applyAlignment="1">
      <alignment horizontal="left" vertical="top"/>
    </xf>
    <xf numFmtId="44" fontId="4" fillId="2" borderId="16" xfId="0" applyNumberFormat="1" applyFont="1" applyFill="1" applyBorder="1" applyAlignment="1">
      <alignment horizontal="right"/>
    </xf>
    <xf numFmtId="44" fontId="4" fillId="2" borderId="20" xfId="0" applyNumberFormat="1" applyFont="1" applyFill="1" applyBorder="1" applyAlignment="1">
      <alignment horizontal="right"/>
    </xf>
    <xf numFmtId="44" fontId="5" fillId="4" borderId="27" xfId="0" applyNumberFormat="1" applyFont="1" applyFill="1" applyBorder="1" applyAlignment="1">
      <alignment horizontal="center" vertical="center"/>
    </xf>
    <xf numFmtId="44" fontId="4" fillId="4" borderId="37" xfId="0" applyNumberFormat="1" applyFont="1" applyFill="1" applyBorder="1"/>
    <xf numFmtId="44" fontId="4" fillId="4" borderId="53" xfId="0" applyNumberFormat="1" applyFont="1" applyFill="1" applyBorder="1"/>
    <xf numFmtId="44" fontId="3" fillId="4" borderId="27" xfId="0" applyNumberFormat="1" applyFont="1" applyFill="1" applyBorder="1"/>
  </cellXfs>
  <cellStyles count="2">
    <cellStyle name="Currency" xfId="1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4" formatCode="0.00%"/>
      <border diagonalUp="0" diagonalDown="0" outline="0">
        <left/>
        <right/>
        <top/>
        <bottom/>
      </border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107950</xdr:rowOff>
    </xdr:from>
    <xdr:to>
      <xdr:col>2</xdr:col>
      <xdr:colOff>1515677</xdr:colOff>
      <xdr:row>0</xdr:row>
      <xdr:rowOff>1262691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BE4EEBB-5B9A-DC4F-9D64-1B95D6BA7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92750" y="107950"/>
          <a:ext cx="5611427" cy="11547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ie Hamilton" id="{7A90110A-3323-5E4A-A08E-0D92932A2507}" userId="S::katie@gtcnc.org::e111bb72-8ca4-4dd6-92ec-f59aeb513d4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F65F2-4C8E-344E-8878-6381B3FAF7EE}" name="Table1" displayName="Table1" ref="A1:P99" totalsRowCount="1" headerRowDxfId="32" dataDxfId="31" totalsRowDxfId="29" tableBorderDxfId="30">
  <autoFilter ref="A1:P98" xr:uid="{0F33310C-B177-4540-95E5-7028328D913D}"/>
  <tableColumns count="16">
    <tableColumn id="1" xr3:uid="{A1E5F769-B4E8-EC45-8C80-69E1BFD8B9AF}" name="ACCOUNT" dataDxfId="28" totalsRowDxfId="27"/>
    <tableColumn id="2" xr3:uid="{E90F4BF6-FBFA-F54F-A1BB-0F54F4D58BF3}" name="Approved 2016" dataDxfId="26" totalsRowDxfId="25"/>
    <tableColumn id="3" xr3:uid="{8D779673-A70A-5D4B-BE71-0C3F2963C85F}" name="Approved 2017" dataDxfId="24" totalsRowDxfId="23"/>
    <tableColumn id="4" xr3:uid="{ABB6CE4A-8506-8248-8C0B-CDD25E59D5D3}" name="Approved 2018" dataDxfId="22" totalsRowDxfId="21"/>
    <tableColumn id="5" xr3:uid="{1A238E80-FD03-B04B-ACC0-BA916B70FC1F}" name="Approved 2019" dataDxfId="20" totalsRowDxfId="19"/>
    <tableColumn id="11" xr3:uid="{C3142DCA-8C53-824D-9955-53C9A66D82A0}" name="Ameneded FY 2019" dataDxfId="18" totalsRowDxfId="17"/>
    <tableColumn id="9" xr3:uid="{89376079-5D11-4147-A42E-3C9C811AFB87}" name="Acutal 2019" dataDxfId="16" totalsRowDxfId="15"/>
    <tableColumn id="6" xr3:uid="{B052A657-37A8-F04B-B72A-551B49E3AFAA}" name="Approved FY 2020" dataDxfId="14" totalsRowDxfId="13"/>
    <tableColumn id="16" xr3:uid="{6619C658-0239-AC46-B73B-B4F743C1CE08}" name="Amended FY 2020" totalsRowDxfId="12"/>
    <tableColumn id="10" xr3:uid="{56020A9B-3B72-CE44-B6D6-0FB1C1923762}" name="Actual FY 2020" dataDxfId="11" totalsRowDxfId="10"/>
    <tableColumn id="7" xr3:uid="{99DF025D-D4BC-8048-93EC-3B2F4F460087}" name="PROPOSED FY 2021" dataDxfId="9" totalsRowDxfId="8"/>
    <tableColumn id="12" xr3:uid="{58AE62C9-9413-C449-B902-3F6206475D62}" name="PROPOSED FY 2021 WITH 14 % REDUCTION" dataDxfId="7" totalsRowDxfId="6">
      <calculatedColumnFormula>Table1[[#This Row],[PROPOSED FY 2021]]*14%</calculatedColumnFormula>
    </tableColumn>
    <tableColumn id="13" xr3:uid="{0445BD92-619B-2D47-A818-14A783F8512D}" name="$  OF REDUCTION" totalsRowDxfId="5"/>
    <tableColumn id="14" xr3:uid="{AE626BF1-1A69-8140-901E-913F6CEB8308}" name="% OF REDUCTION " dataDxfId="4" totalsRowDxfId="3"/>
    <tableColumn id="15" xr3:uid="{687AC44B-5B96-9748-948A-F83FA8DE421D}" name="PROPOSED FY 2021 WITH 11 % REDUCTION" totalsRowFunction="custom" totalsRowDxfId="2">
      <totalsRowFormula>L97-O97</totalsRowFormula>
    </tableColumn>
    <tableColumn id="17" xr3:uid="{F801F153-F8C7-4E40-8D91-D9DE73DCE688}" name="Not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0-02-21T03:02:25.66" personId="{7A90110A-3323-5E4A-A08E-0D92932A2507}" id="{AA371A59-12CF-5F48-B395-5B2D42D9A627}">
    <text xml:space="preserve">Workers Comp
Unemployment Insurance
Liability Insurance
</text>
  </threadedComment>
  <threadedComment ref="C8" dT="2020-03-04T15:33:23.87" personId="{7A90110A-3323-5E4A-A08E-0D92932A2507}" id="{926177E7-F1BE-BC40-9712-8D1A3F643948}">
    <text>Paid Rent with AFY 2016</text>
  </threadedComment>
  <threadedComment ref="D8" dT="2020-03-04T14:50:14.47" personId="{7A90110A-3323-5E4A-A08E-0D92932A2507}" id="{8149047B-4CCC-9340-8B9B-1816DA56A587}">
    <text xml:space="preserve">Paid with AFY 17 Funds
</text>
  </threadedComment>
  <threadedComment ref="E8" dT="2020-03-04T14:33:00.74" personId="{7A90110A-3323-5E4A-A08E-0D92932A2507}" id="{F7B2A585-7FFC-2C40-A9D6-F64235C68C24}">
    <text xml:space="preserve">Rent was paid with AFY 18 Dollars
</text>
  </threadedComment>
  <threadedComment ref="K19" dT="2020-03-06T16:47:34.84" personId="{7A90110A-3323-5E4A-A08E-0D92932A2507}" id="{28079495-A381-FD42-B443-673F1A198AF6}">
    <text xml:space="preserve">System Improvement RTAC budget 1,000 for MIFI’s
</text>
  </threadedComment>
  <threadedComment ref="E52" dT="2020-03-04T14:35:32.17" personId="{7A90110A-3323-5E4A-A08E-0D92932A2507}" id="{FB2204F1-5375-F140-9BFD-98E49B0BAA90}">
    <text xml:space="preserve">Paid with AFY 18
</text>
  </threadedComment>
  <threadedComment ref="D64" dT="2020-03-04T15:16:36.51" personId="{7A90110A-3323-5E4A-A08E-0D92932A2507}" id="{00503C47-FE4B-8A42-ADFF-6B6603CB2A76}">
    <text xml:space="preserve">Used AFY 17 Dollars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6" dT="2020-02-21T03:02:25.66" personId="{7A90110A-3323-5E4A-A08E-0D92932A2507}" id="{9E29D9A6-DF64-194F-A344-2CD629605F7B}">
    <text xml:space="preserve">Workers Comp
Unemployment Insurance
Liability Insurance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3D9A-93DA-A74A-847B-CB74CD977A30}">
  <sheetPr>
    <tabColor rgb="FF0070C0"/>
  </sheetPr>
  <dimension ref="A1:AA115"/>
  <sheetViews>
    <sheetView zoomScale="91" zoomScaleNormal="80" workbookViewId="0">
      <pane ySplit="1" topLeftCell="A5" activePane="bottomLeft" state="frozen"/>
      <selection pane="bottomLeft" activeCell="Q23" sqref="Q23"/>
    </sheetView>
  </sheetViews>
  <sheetFormatPr baseColWidth="10" defaultRowHeight="24" x14ac:dyDescent="0.3"/>
  <cols>
    <col min="1" max="1" width="58.6640625" style="11" bestFit="1" customWidth="1"/>
    <col min="2" max="2" width="25.6640625" style="98" hidden="1" customWidth="1"/>
    <col min="3" max="5" width="28.33203125" style="11" hidden="1" customWidth="1"/>
    <col min="6" max="6" width="34.1640625" style="101" hidden="1" customWidth="1"/>
    <col min="7" max="7" width="26.5" style="102" hidden="1" customWidth="1"/>
    <col min="8" max="8" width="51" style="11" customWidth="1"/>
    <col min="9" max="9" width="34.5" style="11" customWidth="1"/>
    <col min="10" max="10" width="24.5" style="11" customWidth="1"/>
    <col min="11" max="11" width="36.5" style="98" hidden="1" customWidth="1"/>
    <col min="12" max="13" width="36.5" style="11" hidden="1" customWidth="1"/>
    <col min="14" max="15" width="36.5" style="185" hidden="1" customWidth="1"/>
    <col min="16" max="16" width="98.83203125" style="11" customWidth="1"/>
    <col min="17" max="17" width="14.83203125" style="11" bestFit="1" customWidth="1"/>
    <col min="18" max="22" width="10.83203125" style="11"/>
    <col min="23" max="23" width="51.33203125" style="122" customWidth="1"/>
    <col min="24" max="26" width="10.83203125" style="122"/>
    <col min="27" max="27" width="64" style="122" customWidth="1"/>
    <col min="28" max="16384" width="10.83203125" style="11"/>
  </cols>
  <sheetData>
    <row r="1" spans="1:27" s="1" customFormat="1" ht="51" customHeight="1" thickBot="1" x14ac:dyDescent="0.25">
      <c r="A1" s="105" t="s">
        <v>5</v>
      </c>
      <c r="B1" s="106" t="s">
        <v>6</v>
      </c>
      <c r="C1" s="106" t="s">
        <v>7</v>
      </c>
      <c r="D1" s="106" t="s">
        <v>8</v>
      </c>
      <c r="E1" s="106" t="s">
        <v>9</v>
      </c>
      <c r="F1" s="107" t="s">
        <v>66</v>
      </c>
      <c r="G1" s="106" t="s">
        <v>59</v>
      </c>
      <c r="H1" s="106" t="s">
        <v>103</v>
      </c>
      <c r="I1" s="106" t="s">
        <v>101</v>
      </c>
      <c r="J1" s="274" t="s">
        <v>102</v>
      </c>
      <c r="K1" s="194" t="s">
        <v>83</v>
      </c>
      <c r="L1" s="108" t="s">
        <v>85</v>
      </c>
      <c r="M1" s="108" t="s">
        <v>87</v>
      </c>
      <c r="N1" s="166" t="s">
        <v>86</v>
      </c>
      <c r="O1" s="108" t="s">
        <v>100</v>
      </c>
      <c r="P1" s="344" t="s">
        <v>111</v>
      </c>
      <c r="V1" s="120"/>
      <c r="W1" s="120"/>
      <c r="X1" s="120"/>
      <c r="Y1" s="120"/>
      <c r="Z1" s="120"/>
    </row>
    <row r="2" spans="1:27" s="6" customFormat="1" ht="27" thickBot="1" x14ac:dyDescent="0.35">
      <c r="A2" s="2" t="s">
        <v>69</v>
      </c>
      <c r="B2" s="3"/>
      <c r="C2" s="3"/>
      <c r="D2" s="3"/>
      <c r="E2" s="3"/>
      <c r="F2" s="3"/>
      <c r="G2" s="4"/>
      <c r="H2" s="3"/>
      <c r="I2" s="5"/>
      <c r="J2" s="236"/>
      <c r="K2" s="247"/>
      <c r="L2" s="234"/>
      <c r="M2" s="5"/>
      <c r="N2" s="235"/>
      <c r="O2" s="236"/>
      <c r="V2" s="121"/>
      <c r="W2" s="121"/>
      <c r="X2" s="121"/>
      <c r="Y2" s="121"/>
      <c r="Z2" s="121"/>
    </row>
    <row r="3" spans="1:27" x14ac:dyDescent="0.3">
      <c r="A3" s="7" t="s">
        <v>0</v>
      </c>
      <c r="B3" s="8">
        <v>267795</v>
      </c>
      <c r="C3" s="8">
        <v>267795</v>
      </c>
      <c r="D3" s="8">
        <f>220132+105000</f>
        <v>325132</v>
      </c>
      <c r="E3" s="8">
        <f>105000+220132</f>
        <v>325132</v>
      </c>
      <c r="F3" s="8"/>
      <c r="G3" s="9">
        <v>302909.14</v>
      </c>
      <c r="H3" s="8">
        <f>224534+107100</f>
        <v>331634</v>
      </c>
      <c r="I3" s="10"/>
      <c r="J3" s="342">
        <f>193225.34</f>
        <v>193225.34</v>
      </c>
      <c r="K3" s="248">
        <f>391080</f>
        <v>391080</v>
      </c>
      <c r="L3" s="8">
        <f>Table1[[#This Row],[PROPOSED FY 2021]]</f>
        <v>391080</v>
      </c>
      <c r="M3" s="8"/>
      <c r="N3" s="224">
        <f>Table1[[#This Row],[$  OF REDUCTION]]/Table1[[#This Row],[PROPOSED FY 2021]]</f>
        <v>0</v>
      </c>
      <c r="O3" s="8">
        <v>391080</v>
      </c>
      <c r="P3" s="11" t="s">
        <v>110</v>
      </c>
      <c r="V3" s="122"/>
      <c r="AA3" s="11"/>
    </row>
    <row r="4" spans="1:27" x14ac:dyDescent="0.3">
      <c r="A4" s="12" t="s">
        <v>1</v>
      </c>
      <c r="B4" s="13">
        <v>160125</v>
      </c>
      <c r="C4" s="13">
        <v>160125</v>
      </c>
      <c r="D4" s="13">
        <f>62784+131626</f>
        <v>194410</v>
      </c>
      <c r="E4" s="13">
        <f>131824+62878</f>
        <v>194702</v>
      </c>
      <c r="F4" s="13"/>
      <c r="G4" s="14">
        <v>177499.92</v>
      </c>
      <c r="H4" s="13">
        <f>132215+63065</f>
        <v>195280</v>
      </c>
      <c r="I4" s="15"/>
      <c r="J4" s="343">
        <v>112174.55</v>
      </c>
      <c r="K4" s="249">
        <v>226827</v>
      </c>
      <c r="L4" s="15">
        <f>Table1[[#This Row],[PROPOSED FY 2021]]</f>
        <v>226827</v>
      </c>
      <c r="M4" s="15"/>
      <c r="N4" s="165">
        <f>Table1[[#This Row],[$  OF REDUCTION]]/Table1[[#This Row],[PROPOSED FY 2021]]</f>
        <v>0</v>
      </c>
      <c r="O4" s="15">
        <v>226827</v>
      </c>
      <c r="P4" s="11" t="s">
        <v>110</v>
      </c>
      <c r="V4" s="122"/>
      <c r="AA4" s="11"/>
    </row>
    <row r="5" spans="1:27" x14ac:dyDescent="0.3">
      <c r="A5" s="12" t="s">
        <v>4</v>
      </c>
      <c r="B5" s="13">
        <v>1848</v>
      </c>
      <c r="C5" s="13">
        <v>1848</v>
      </c>
      <c r="D5" s="13">
        <v>1848</v>
      </c>
      <c r="E5" s="13">
        <v>1848</v>
      </c>
      <c r="F5" s="13"/>
      <c r="G5" s="14">
        <v>20792.3</v>
      </c>
      <c r="H5" s="13">
        <v>1848</v>
      </c>
      <c r="I5" s="15"/>
      <c r="J5" s="276">
        <v>16229</v>
      </c>
      <c r="K5" s="249">
        <v>16229</v>
      </c>
      <c r="L5" s="15">
        <f>Table1[[#This Row],[PROPOSED FY 2021]]</f>
        <v>16229</v>
      </c>
      <c r="M5" s="15"/>
      <c r="N5" s="165">
        <f>Table1[[#This Row],[$  OF REDUCTION]]/Table1[[#This Row],[PROPOSED FY 2021]]</f>
        <v>0</v>
      </c>
      <c r="O5" s="15">
        <v>16229</v>
      </c>
      <c r="V5" s="122"/>
      <c r="AA5" s="11"/>
    </row>
    <row r="6" spans="1:27" x14ac:dyDescent="0.3">
      <c r="A6" s="12" t="s">
        <v>2</v>
      </c>
      <c r="B6" s="13">
        <v>25000</v>
      </c>
      <c r="C6" s="13">
        <v>25000</v>
      </c>
      <c r="D6" s="13">
        <v>32000</v>
      </c>
      <c r="E6" s="13">
        <f>30000+25000</f>
        <v>55000</v>
      </c>
      <c r="F6" s="13"/>
      <c r="G6" s="14">
        <v>43931.77</v>
      </c>
      <c r="H6" s="13">
        <f>25000+30000</f>
        <v>55000</v>
      </c>
      <c r="I6" s="15"/>
      <c r="J6" s="276">
        <v>18079.45</v>
      </c>
      <c r="K6" s="249">
        <v>35000</v>
      </c>
      <c r="L6" s="15">
        <f>Table1[[#This Row],[PROPOSED FY 2021]]</f>
        <v>35000</v>
      </c>
      <c r="M6" s="15"/>
      <c r="N6" s="165">
        <f>Table1[[#This Row],[$  OF REDUCTION]]/Table1[[#This Row],[PROPOSED FY 2021]]</f>
        <v>0</v>
      </c>
      <c r="O6" s="15">
        <v>35000</v>
      </c>
      <c r="V6" s="122"/>
      <c r="AA6" s="11"/>
    </row>
    <row r="7" spans="1:27" x14ac:dyDescent="0.3">
      <c r="A7" s="12" t="s">
        <v>3</v>
      </c>
      <c r="B7" s="13">
        <v>4500</v>
      </c>
      <c r="C7" s="13">
        <v>5000</v>
      </c>
      <c r="D7" s="13">
        <v>7000</v>
      </c>
      <c r="E7" s="13">
        <v>7000</v>
      </c>
      <c r="F7" s="13"/>
      <c r="G7" s="14">
        <v>5853.98</v>
      </c>
      <c r="H7" s="13">
        <v>7000</v>
      </c>
      <c r="I7" s="15"/>
      <c r="J7" s="276">
        <v>3750</v>
      </c>
      <c r="K7" s="249">
        <v>7000</v>
      </c>
      <c r="L7" s="15">
        <f>Table1[[#This Row],[PROPOSED FY 2021]]</f>
        <v>7000</v>
      </c>
      <c r="M7" s="15"/>
      <c r="N7" s="165">
        <f>Table1[[#This Row],[$  OF REDUCTION]]/Table1[[#This Row],[PROPOSED FY 2021]]</f>
        <v>0</v>
      </c>
      <c r="O7" s="15">
        <v>7000</v>
      </c>
      <c r="V7" s="122"/>
      <c r="AA7" s="11"/>
    </row>
    <row r="8" spans="1:27" x14ac:dyDescent="0.3">
      <c r="A8" s="12" t="s">
        <v>10</v>
      </c>
      <c r="B8" s="13">
        <f>24450+2700</f>
        <v>27150</v>
      </c>
      <c r="C8" s="13">
        <v>2700</v>
      </c>
      <c r="D8" s="13">
        <v>1500</v>
      </c>
      <c r="E8" s="13">
        <v>1500</v>
      </c>
      <c r="F8" s="13"/>
      <c r="G8" s="14" t="s">
        <v>60</v>
      </c>
      <c r="H8" s="13">
        <f>24450+1500</f>
        <v>25950</v>
      </c>
      <c r="I8" s="15"/>
      <c r="J8" s="276">
        <v>24155.9</v>
      </c>
      <c r="K8" s="249">
        <v>35950</v>
      </c>
      <c r="L8" s="15">
        <f>Table1[[#This Row],[PROPOSED FY 2021]]</f>
        <v>35950</v>
      </c>
      <c r="M8" s="15"/>
      <c r="N8" s="165">
        <f>Table1[[#This Row],[$  OF REDUCTION]]/Table1[[#This Row],[PROPOSED FY 2021]]</f>
        <v>0</v>
      </c>
      <c r="O8" s="15">
        <v>35950</v>
      </c>
      <c r="V8" s="122"/>
      <c r="AA8" s="11"/>
    </row>
    <row r="9" spans="1:27" x14ac:dyDescent="0.3">
      <c r="A9" s="12" t="s">
        <v>22</v>
      </c>
      <c r="B9" s="13">
        <v>2000</v>
      </c>
      <c r="C9" s="13">
        <v>2000</v>
      </c>
      <c r="D9" s="13">
        <v>2000</v>
      </c>
      <c r="E9" s="13">
        <v>2000</v>
      </c>
      <c r="F9" s="13"/>
      <c r="G9" s="14">
        <v>2928.46</v>
      </c>
      <c r="H9" s="13">
        <v>4000</v>
      </c>
      <c r="I9" s="15"/>
      <c r="J9" s="276">
        <v>2427.0300000000002</v>
      </c>
      <c r="K9" s="249">
        <v>3000</v>
      </c>
      <c r="L9" s="15">
        <f>Table1[[#This Row],[PROPOSED FY 2021]]</f>
        <v>3000</v>
      </c>
      <c r="M9" s="15"/>
      <c r="N9" s="165">
        <f>Table1[[#This Row],[$  OF REDUCTION]]/Table1[[#This Row],[PROPOSED FY 2021]]</f>
        <v>0</v>
      </c>
      <c r="O9" s="15">
        <v>3000</v>
      </c>
      <c r="V9" s="122"/>
      <c r="AA9" s="11"/>
    </row>
    <row r="10" spans="1:27" x14ac:dyDescent="0.3">
      <c r="A10" s="12" t="s">
        <v>23</v>
      </c>
      <c r="B10" s="13">
        <v>2000</v>
      </c>
      <c r="C10" s="13">
        <v>2000</v>
      </c>
      <c r="D10" s="13">
        <v>4000</v>
      </c>
      <c r="E10" s="13">
        <v>4000</v>
      </c>
      <c r="F10" s="13"/>
      <c r="G10" s="14">
        <v>2246.84</v>
      </c>
      <c r="H10" s="13">
        <v>4000</v>
      </c>
      <c r="I10" s="15"/>
      <c r="J10" s="276">
        <v>3899.92</v>
      </c>
      <c r="K10" s="249">
        <v>5000</v>
      </c>
      <c r="L10" s="15">
        <f>Table1[[#This Row],[PROPOSED FY 2021]]</f>
        <v>5000</v>
      </c>
      <c r="M10" s="15"/>
      <c r="N10" s="165">
        <f>Table1[[#This Row],[$  OF REDUCTION]]/Table1[[#This Row],[PROPOSED FY 2021]]</f>
        <v>0</v>
      </c>
      <c r="O10" s="15">
        <v>5000</v>
      </c>
      <c r="V10" s="122"/>
      <c r="AA10" s="11"/>
    </row>
    <row r="11" spans="1:27" x14ac:dyDescent="0.3">
      <c r="A11" s="12" t="s">
        <v>24</v>
      </c>
      <c r="B11" s="13">
        <v>500</v>
      </c>
      <c r="C11" s="13">
        <v>500</v>
      </c>
      <c r="D11" s="13">
        <v>500</v>
      </c>
      <c r="E11" s="13">
        <v>500</v>
      </c>
      <c r="F11" s="13"/>
      <c r="G11" s="14">
        <v>460.7</v>
      </c>
      <c r="H11" s="13">
        <v>500</v>
      </c>
      <c r="I11" s="15"/>
      <c r="J11" s="276">
        <v>131.69999999999999</v>
      </c>
      <c r="K11" s="249">
        <v>500</v>
      </c>
      <c r="L11" s="15">
        <f>Table1[[#This Row],[PROPOSED FY 2021]]</f>
        <v>500</v>
      </c>
      <c r="M11" s="15"/>
      <c r="N11" s="165">
        <f>Table1[[#This Row],[$  OF REDUCTION]]/Table1[[#This Row],[PROPOSED FY 2021]]</f>
        <v>0</v>
      </c>
      <c r="O11" s="15">
        <v>500</v>
      </c>
      <c r="V11" s="122"/>
      <c r="AA11" s="11"/>
    </row>
    <row r="12" spans="1:27" x14ac:dyDescent="0.3">
      <c r="A12" s="12" t="s">
        <v>25</v>
      </c>
      <c r="B12" s="13">
        <v>10000</v>
      </c>
      <c r="C12" s="13">
        <v>10000</v>
      </c>
      <c r="D12" s="13">
        <v>10000</v>
      </c>
      <c r="E12" s="13">
        <v>15000</v>
      </c>
      <c r="F12" s="13"/>
      <c r="G12" s="14">
        <v>18265.03</v>
      </c>
      <c r="H12" s="13">
        <v>15000</v>
      </c>
      <c r="I12" s="15"/>
      <c r="J12" s="276">
        <v>17315.169999999998</v>
      </c>
      <c r="K12" s="249">
        <v>15000</v>
      </c>
      <c r="L12" s="15">
        <f>Table1[[#This Row],[PROPOSED FY 2021]]</f>
        <v>15000</v>
      </c>
      <c r="M12" s="15"/>
      <c r="N12" s="165">
        <f>Table1[[#This Row],[$  OF REDUCTION]]/Table1[[#This Row],[PROPOSED FY 2021]]</f>
        <v>0</v>
      </c>
      <c r="O12" s="15">
        <v>15000</v>
      </c>
      <c r="V12" s="122"/>
      <c r="AA12" s="11"/>
    </row>
    <row r="13" spans="1:27" x14ac:dyDescent="0.3">
      <c r="A13" s="12" t="s">
        <v>64</v>
      </c>
      <c r="B13" s="13"/>
      <c r="C13" s="13"/>
      <c r="D13" s="13"/>
      <c r="E13" s="13"/>
      <c r="F13" s="13"/>
      <c r="G13" s="14"/>
      <c r="H13" s="13"/>
      <c r="I13" s="15">
        <v>5000</v>
      </c>
      <c r="J13" s="276">
        <v>4400</v>
      </c>
      <c r="K13" s="249">
        <v>15000</v>
      </c>
      <c r="L13" s="15">
        <v>15000</v>
      </c>
      <c r="M13" s="15"/>
      <c r="N13" s="165">
        <f>Table1[[#This Row],[$  OF REDUCTION]]/Table1[[#This Row],[PROPOSED FY 2021]]</f>
        <v>0</v>
      </c>
      <c r="O13" s="15">
        <v>15000</v>
      </c>
      <c r="V13" s="122"/>
      <c r="AA13" s="11"/>
    </row>
    <row r="14" spans="1:27" x14ac:dyDescent="0.3">
      <c r="A14" s="16" t="s">
        <v>84</v>
      </c>
      <c r="B14" s="17"/>
      <c r="C14" s="17"/>
      <c r="D14" s="17"/>
      <c r="E14" s="17"/>
      <c r="F14" s="161"/>
      <c r="G14" s="18"/>
      <c r="H14" s="17"/>
      <c r="I14" s="19">
        <v>5000</v>
      </c>
      <c r="J14" s="277">
        <v>5000</v>
      </c>
      <c r="K14" s="250"/>
      <c r="L14" s="13"/>
      <c r="M14" s="13"/>
      <c r="N14" s="165" t="e">
        <f>Table1[[#This Row],[$  OF REDUCTION]]/Table1[[#This Row],[PROPOSED FY 2021]]</f>
        <v>#DIV/0!</v>
      </c>
      <c r="O14" s="13"/>
      <c r="V14" s="122"/>
      <c r="AA14" s="11"/>
    </row>
    <row r="15" spans="1:27" ht="25" thickBot="1" x14ac:dyDescent="0.35">
      <c r="A15" s="16"/>
      <c r="B15" s="17"/>
      <c r="C15" s="17"/>
      <c r="D15" s="17"/>
      <c r="E15" s="17"/>
      <c r="F15" s="17"/>
      <c r="G15" s="18"/>
      <c r="H15" s="17"/>
      <c r="I15" s="19"/>
      <c r="J15" s="277"/>
      <c r="K15" s="251"/>
      <c r="L15" s="19"/>
      <c r="M15" s="19"/>
      <c r="N15" s="165"/>
      <c r="O15" s="19"/>
      <c r="V15" s="122"/>
      <c r="AA15" s="11"/>
    </row>
    <row r="16" spans="1:27" s="23" customFormat="1" ht="25" thickBot="1" x14ac:dyDescent="0.35">
      <c r="A16" s="20" t="s">
        <v>11</v>
      </c>
      <c r="B16" s="21">
        <f>SUM(B17:B19)</f>
        <v>22000</v>
      </c>
      <c r="C16" s="21">
        <f>SUM(C17:C19)</f>
        <v>16000</v>
      </c>
      <c r="D16" s="21">
        <f>SUM(D17:D19)</f>
        <v>16200</v>
      </c>
      <c r="E16" s="21">
        <f>SUM(E17:E19)</f>
        <v>18650</v>
      </c>
      <c r="F16" s="21"/>
      <c r="G16" s="21">
        <f>SUM(G17:G19)</f>
        <v>13783.36</v>
      </c>
      <c r="H16" s="21">
        <f>SUM(H17:H19)</f>
        <v>12850</v>
      </c>
      <c r="I16" s="21"/>
      <c r="J16" s="278">
        <f>SUM(J17:J19)</f>
        <v>13371.82</v>
      </c>
      <c r="K16" s="252">
        <f>SUM(K17:K19)</f>
        <v>14950</v>
      </c>
      <c r="L16" s="22">
        <f>Table1[[#This Row],[PROPOSED FY 2021]]</f>
        <v>14950</v>
      </c>
      <c r="M16" s="22"/>
      <c r="N16" s="165">
        <f>Table1[[#This Row],[$  OF REDUCTION]]/Table1[[#This Row],[PROPOSED FY 2021]]</f>
        <v>0</v>
      </c>
      <c r="O16" s="22">
        <f>SUM(O17:O19)</f>
        <v>14950</v>
      </c>
      <c r="V16" s="123"/>
      <c r="W16" s="123"/>
      <c r="X16" s="123"/>
      <c r="Y16" s="123"/>
      <c r="Z16" s="123"/>
    </row>
    <row r="17" spans="1:27" x14ac:dyDescent="0.3">
      <c r="A17" s="24" t="s">
        <v>75</v>
      </c>
      <c r="B17" s="8">
        <v>12000</v>
      </c>
      <c r="C17" s="8">
        <v>6000</v>
      </c>
      <c r="D17" s="8">
        <v>6200</v>
      </c>
      <c r="E17" s="8">
        <v>8800</v>
      </c>
      <c r="F17" s="8"/>
      <c r="G17" s="9">
        <v>1705.09</v>
      </c>
      <c r="H17" s="8">
        <v>3000</v>
      </c>
      <c r="I17" s="10"/>
      <c r="J17" s="275">
        <v>1658.81</v>
      </c>
      <c r="K17" s="248">
        <v>3000</v>
      </c>
      <c r="L17" s="10">
        <f>Table1[[#This Row],[PROPOSED FY 2021]]</f>
        <v>3000</v>
      </c>
      <c r="M17" s="10"/>
      <c r="N17" s="165">
        <f>Table1[[#This Row],[$  OF REDUCTION]]/Table1[[#This Row],[PROPOSED FY 2021]]</f>
        <v>0</v>
      </c>
      <c r="O17" s="10">
        <v>3000</v>
      </c>
      <c r="V17" s="122"/>
      <c r="AA17" s="11"/>
    </row>
    <row r="18" spans="1:27" x14ac:dyDescent="0.3">
      <c r="A18" s="25" t="s">
        <v>12</v>
      </c>
      <c r="B18" s="13">
        <v>6000</v>
      </c>
      <c r="C18" s="13">
        <v>6000</v>
      </c>
      <c r="D18" s="13">
        <v>5000</v>
      </c>
      <c r="E18" s="13">
        <v>4500</v>
      </c>
      <c r="F18" s="13"/>
      <c r="G18" s="14">
        <v>4489.53</v>
      </c>
      <c r="H18" s="13">
        <v>4500</v>
      </c>
      <c r="I18" s="15"/>
      <c r="J18" s="276">
        <v>4287.45</v>
      </c>
      <c r="K18" s="249">
        <f>4600+1800</f>
        <v>6400</v>
      </c>
      <c r="L18" s="15">
        <f>Table1[[#This Row],[PROPOSED FY 2021]]</f>
        <v>6400</v>
      </c>
      <c r="M18" s="15"/>
      <c r="N18" s="165">
        <f>Table1[[#This Row],[$  OF REDUCTION]]/Table1[[#This Row],[PROPOSED FY 2021]]</f>
        <v>0</v>
      </c>
      <c r="O18" s="15">
        <v>6400</v>
      </c>
      <c r="V18" s="122"/>
      <c r="AA18" s="11"/>
    </row>
    <row r="19" spans="1:27" x14ac:dyDescent="0.3">
      <c r="A19" s="25" t="s">
        <v>13</v>
      </c>
      <c r="B19" s="13">
        <v>4000</v>
      </c>
      <c r="C19" s="13">
        <v>4000</v>
      </c>
      <c r="D19" s="13">
        <f>3750+1250</f>
        <v>5000</v>
      </c>
      <c r="E19" s="13">
        <v>5350</v>
      </c>
      <c r="F19" s="13"/>
      <c r="G19" s="14">
        <v>7588.74</v>
      </c>
      <c r="H19" s="13">
        <v>5350</v>
      </c>
      <c r="I19" s="15"/>
      <c r="J19" s="276">
        <v>7425.56</v>
      </c>
      <c r="K19" s="249">
        <v>5550</v>
      </c>
      <c r="L19" s="15">
        <f>Table1[[#This Row],[PROPOSED FY 2021]]</f>
        <v>5550</v>
      </c>
      <c r="M19" s="15"/>
      <c r="N19" s="165">
        <f>Table1[[#This Row],[$  OF REDUCTION]]/Table1[[#This Row],[PROPOSED FY 2021]]</f>
        <v>0</v>
      </c>
      <c r="O19" s="15">
        <v>5550</v>
      </c>
      <c r="V19" s="122"/>
      <c r="AA19" s="11"/>
    </row>
    <row r="20" spans="1:27" ht="25" thickBot="1" x14ac:dyDescent="0.35">
      <c r="A20" s="26"/>
      <c r="B20" s="17"/>
      <c r="C20" s="17"/>
      <c r="D20" s="17"/>
      <c r="E20" s="17"/>
      <c r="F20" s="17"/>
      <c r="G20" s="18"/>
      <c r="H20" s="17"/>
      <c r="I20" s="19"/>
      <c r="J20" s="277"/>
      <c r="K20" s="251"/>
      <c r="L20" s="19"/>
      <c r="M20" s="19"/>
      <c r="N20" s="165"/>
      <c r="O20" s="19"/>
      <c r="V20" s="122"/>
      <c r="AA20" s="11"/>
    </row>
    <row r="21" spans="1:27" s="23" customFormat="1" ht="25" thickBot="1" x14ac:dyDescent="0.35">
      <c r="A21" s="20" t="s">
        <v>62</v>
      </c>
      <c r="B21" s="21">
        <f>SUM(B22:B24)</f>
        <v>3550</v>
      </c>
      <c r="C21" s="21">
        <f>SUM(C22:C24)</f>
        <v>3550</v>
      </c>
      <c r="D21" s="21">
        <f>SUM(D22:D24)</f>
        <v>3600</v>
      </c>
      <c r="E21" s="21">
        <f>SUM(E22:E29)</f>
        <v>4750</v>
      </c>
      <c r="F21" s="21"/>
      <c r="G21" s="21">
        <f>SUM(G22:G29)</f>
        <v>7032.17</v>
      </c>
      <c r="H21" s="21">
        <f>SUM(H22:H29)</f>
        <v>4750</v>
      </c>
      <c r="I21" s="21"/>
      <c r="J21" s="278">
        <f>SUM(J22:J29)</f>
        <v>7943.4699999999993</v>
      </c>
      <c r="K21" s="252">
        <f>SUM(K22:K30)</f>
        <v>15670</v>
      </c>
      <c r="L21" s="22">
        <f>Table1[[#This Row],[PROPOSED FY 2021]]</f>
        <v>15670</v>
      </c>
      <c r="M21" s="22"/>
      <c r="N21" s="165">
        <f>Table1[[#This Row],[$  OF REDUCTION]]/Table1[[#This Row],[PROPOSED FY 2021]]</f>
        <v>0</v>
      </c>
      <c r="O21" s="22">
        <f>SUM(O22:O30)</f>
        <v>15670</v>
      </c>
      <c r="V21" s="123"/>
      <c r="W21" s="123"/>
      <c r="X21" s="123"/>
      <c r="Y21" s="123"/>
      <c r="Z21" s="123"/>
    </row>
    <row r="22" spans="1:27" x14ac:dyDescent="0.3">
      <c r="A22" s="24" t="s">
        <v>14</v>
      </c>
      <c r="B22" s="8">
        <v>1300</v>
      </c>
      <c r="C22" s="8">
        <v>1300</v>
      </c>
      <c r="D22" s="8">
        <v>1350</v>
      </c>
      <c r="E22" s="8">
        <v>1300</v>
      </c>
      <c r="F22" s="8"/>
      <c r="G22" s="9">
        <v>1300</v>
      </c>
      <c r="H22" s="8">
        <v>1300</v>
      </c>
      <c r="I22" s="10"/>
      <c r="J22" s="275">
        <v>1300</v>
      </c>
      <c r="K22" s="253">
        <v>1300</v>
      </c>
      <c r="L22" s="103">
        <f>Table1[[#This Row],[PROPOSED FY 2021]]</f>
        <v>1300</v>
      </c>
      <c r="M22" s="103"/>
      <c r="N22" s="165">
        <f>Table1[[#This Row],[$  OF REDUCTION]]/Table1[[#This Row],[PROPOSED FY 2021]]</f>
        <v>0</v>
      </c>
      <c r="O22" s="103">
        <v>1300</v>
      </c>
      <c r="V22" s="122"/>
      <c r="AA22" s="11"/>
    </row>
    <row r="23" spans="1:27" x14ac:dyDescent="0.3">
      <c r="A23" s="25" t="s">
        <v>15</v>
      </c>
      <c r="B23" s="13">
        <v>1500</v>
      </c>
      <c r="C23" s="13">
        <v>1500</v>
      </c>
      <c r="D23" s="13">
        <v>1500</v>
      </c>
      <c r="E23" s="13">
        <v>2700</v>
      </c>
      <c r="F23" s="13"/>
      <c r="G23" s="14">
        <v>2700</v>
      </c>
      <c r="H23" s="13">
        <v>2700</v>
      </c>
      <c r="I23" s="15"/>
      <c r="J23" s="276">
        <v>2098.5</v>
      </c>
      <c r="K23" s="254">
        <v>2700</v>
      </c>
      <c r="L23" s="104">
        <f>Table1[[#This Row],[PROPOSED FY 2021]]</f>
        <v>2700</v>
      </c>
      <c r="M23" s="104"/>
      <c r="N23" s="165">
        <f>Table1[[#This Row],[$  OF REDUCTION]]/Table1[[#This Row],[PROPOSED FY 2021]]</f>
        <v>0</v>
      </c>
      <c r="O23" s="104">
        <v>2700</v>
      </c>
      <c r="V23" s="122"/>
      <c r="AA23" s="11"/>
    </row>
    <row r="24" spans="1:27" x14ac:dyDescent="0.3">
      <c r="A24" s="25" t="s">
        <v>16</v>
      </c>
      <c r="B24" s="13">
        <v>750</v>
      </c>
      <c r="C24" s="13">
        <v>750</v>
      </c>
      <c r="D24" s="13">
        <v>750</v>
      </c>
      <c r="E24" s="13">
        <v>750</v>
      </c>
      <c r="F24" s="13"/>
      <c r="G24" s="14">
        <v>750</v>
      </c>
      <c r="H24" s="13">
        <v>750</v>
      </c>
      <c r="I24" s="15"/>
      <c r="J24" s="276">
        <v>750</v>
      </c>
      <c r="K24" s="249">
        <v>750</v>
      </c>
      <c r="L24" s="15">
        <f>Table1[[#This Row],[PROPOSED FY 2021]]</f>
        <v>750</v>
      </c>
      <c r="M24" s="15"/>
      <c r="N24" s="165">
        <f>Table1[[#This Row],[$  OF REDUCTION]]/Table1[[#This Row],[PROPOSED FY 2021]]</f>
        <v>0</v>
      </c>
      <c r="O24" s="15">
        <v>750</v>
      </c>
      <c r="V24" s="122"/>
      <c r="AA24" s="11"/>
    </row>
    <row r="25" spans="1:27" x14ac:dyDescent="0.3">
      <c r="A25" s="25" t="s">
        <v>68</v>
      </c>
      <c r="B25" s="13"/>
      <c r="C25" s="13"/>
      <c r="D25" s="13"/>
      <c r="E25" s="13"/>
      <c r="F25" s="13"/>
      <c r="G25" s="14"/>
      <c r="H25" s="13"/>
      <c r="I25" s="15"/>
      <c r="J25" s="276"/>
      <c r="K25" s="249">
        <v>120</v>
      </c>
      <c r="L25" s="15">
        <f>Table1[[#This Row],[PROPOSED FY 2021]]</f>
        <v>120</v>
      </c>
      <c r="M25" s="15"/>
      <c r="N25" s="165">
        <f>Table1[[#This Row],[$  OF REDUCTION]]/Table1[[#This Row],[PROPOSED FY 2021]]</f>
        <v>0</v>
      </c>
      <c r="O25" s="15">
        <v>120</v>
      </c>
      <c r="V25" s="122"/>
      <c r="AA25" s="11"/>
    </row>
    <row r="26" spans="1:27" x14ac:dyDescent="0.3">
      <c r="A26" s="25" t="s">
        <v>17</v>
      </c>
      <c r="B26" s="13"/>
      <c r="C26" s="13"/>
      <c r="D26" s="13"/>
      <c r="E26" s="13"/>
      <c r="F26" s="13"/>
      <c r="G26" s="14">
        <v>1714</v>
      </c>
      <c r="H26" s="13" t="s">
        <v>21</v>
      </c>
      <c r="I26" s="15"/>
      <c r="J26" s="276">
        <v>2401.4899999999998</v>
      </c>
      <c r="K26" s="249">
        <f>245*12</f>
        <v>2940</v>
      </c>
      <c r="L26" s="15">
        <f>Table1[[#This Row],[PROPOSED FY 2021]]</f>
        <v>2940</v>
      </c>
      <c r="M26" s="15"/>
      <c r="N26" s="165">
        <f>Table1[[#This Row],[$  OF REDUCTION]]/Table1[[#This Row],[PROPOSED FY 2021]]</f>
        <v>0</v>
      </c>
      <c r="O26" s="15">
        <v>2940</v>
      </c>
      <c r="V26" s="122"/>
      <c r="AA26" s="11"/>
    </row>
    <row r="27" spans="1:27" x14ac:dyDescent="0.3">
      <c r="A27" s="25" t="s">
        <v>18</v>
      </c>
      <c r="B27" s="13"/>
      <c r="C27" s="13"/>
      <c r="D27" s="13"/>
      <c r="E27" s="13"/>
      <c r="F27" s="13"/>
      <c r="G27" s="14">
        <v>41.17</v>
      </c>
      <c r="H27" s="13" t="s">
        <v>21</v>
      </c>
      <c r="I27" s="15"/>
      <c r="J27" s="276">
        <v>43.48</v>
      </c>
      <c r="K27" s="249">
        <v>50</v>
      </c>
      <c r="L27" s="15">
        <f>Table1[[#This Row],[PROPOSED FY 2021]]</f>
        <v>50</v>
      </c>
      <c r="M27" s="15"/>
      <c r="N27" s="165">
        <f>Table1[[#This Row],[$  OF REDUCTION]]/Table1[[#This Row],[PROPOSED FY 2021]]</f>
        <v>0</v>
      </c>
      <c r="O27" s="15">
        <v>50</v>
      </c>
      <c r="V27" s="122"/>
      <c r="AA27" s="11"/>
    </row>
    <row r="28" spans="1:27" x14ac:dyDescent="0.3">
      <c r="A28" s="25" t="s">
        <v>19</v>
      </c>
      <c r="B28" s="13"/>
      <c r="C28" s="13"/>
      <c r="D28" s="13"/>
      <c r="E28" s="13"/>
      <c r="F28" s="13"/>
      <c r="G28" s="14">
        <v>150</v>
      </c>
      <c r="H28" s="13" t="s">
        <v>21</v>
      </c>
      <c r="I28" s="15"/>
      <c r="J28" s="276">
        <v>1350</v>
      </c>
      <c r="K28" s="249">
        <f>150*12</f>
        <v>1800</v>
      </c>
      <c r="L28" s="15">
        <f>Table1[[#This Row],[PROPOSED FY 2021]]</f>
        <v>1800</v>
      </c>
      <c r="M28" s="15"/>
      <c r="N28" s="165">
        <f>Table1[[#This Row],[$  OF REDUCTION]]/Table1[[#This Row],[PROPOSED FY 2021]]</f>
        <v>0</v>
      </c>
      <c r="O28" s="15">
        <v>1800</v>
      </c>
      <c r="V28" s="122"/>
      <c r="AA28" s="11"/>
    </row>
    <row r="29" spans="1:27" x14ac:dyDescent="0.3">
      <c r="A29" s="25" t="s">
        <v>20</v>
      </c>
      <c r="B29" s="13"/>
      <c r="C29" s="13"/>
      <c r="D29" s="13"/>
      <c r="E29" s="13"/>
      <c r="F29" s="13"/>
      <c r="G29" s="14">
        <v>377</v>
      </c>
      <c r="H29" s="13" t="s">
        <v>21</v>
      </c>
      <c r="I29" s="15"/>
      <c r="J29" s="276"/>
      <c r="K29" s="254">
        <v>2000</v>
      </c>
      <c r="L29" s="104">
        <f>Table1[[#This Row],[PROPOSED FY 2021]]</f>
        <v>2000</v>
      </c>
      <c r="M29" s="104"/>
      <c r="N29" s="165">
        <f>Table1[[#This Row],[$  OF REDUCTION]]/Table1[[#This Row],[PROPOSED FY 2021]]</f>
        <v>0</v>
      </c>
      <c r="O29" s="104">
        <v>2000</v>
      </c>
      <c r="V29" s="122"/>
      <c r="AA29" s="11"/>
    </row>
    <row r="30" spans="1:27" x14ac:dyDescent="0.3">
      <c r="A30" s="25" t="s">
        <v>63</v>
      </c>
      <c r="B30" s="13"/>
      <c r="C30" s="13"/>
      <c r="D30" s="13"/>
      <c r="E30" s="13"/>
      <c r="F30" s="13"/>
      <c r="G30" s="14"/>
      <c r="H30" s="13"/>
      <c r="I30" s="15"/>
      <c r="J30" s="276"/>
      <c r="K30" s="254">
        <v>4010</v>
      </c>
      <c r="L30" s="104">
        <f>Table1[[#This Row],[PROPOSED FY 2021]]</f>
        <v>4010</v>
      </c>
      <c r="M30" s="104"/>
      <c r="N30" s="165">
        <f>Table1[[#This Row],[$  OF REDUCTION]]/Table1[[#This Row],[PROPOSED FY 2021]]</f>
        <v>0</v>
      </c>
      <c r="O30" s="104">
        <v>4010</v>
      </c>
      <c r="V30" s="122"/>
      <c r="AA30" s="11"/>
    </row>
    <row r="31" spans="1:27" x14ac:dyDescent="0.3">
      <c r="A31" s="26"/>
      <c r="B31" s="17"/>
      <c r="C31" s="17"/>
      <c r="D31" s="17"/>
      <c r="E31" s="17"/>
      <c r="F31" s="17"/>
      <c r="G31" s="18"/>
      <c r="H31" s="17"/>
      <c r="I31" s="19"/>
      <c r="J31" s="277"/>
      <c r="K31" s="251"/>
      <c r="L31" s="19"/>
      <c r="M31" s="19"/>
      <c r="N31" s="165"/>
      <c r="O31" s="19"/>
      <c r="V31" s="122"/>
      <c r="AA31" s="11"/>
    </row>
    <row r="32" spans="1:27" ht="25" thickBot="1" x14ac:dyDescent="0.35">
      <c r="A32" s="16" t="s">
        <v>21</v>
      </c>
      <c r="B32" s="17">
        <v>25000</v>
      </c>
      <c r="C32" s="17">
        <v>25000</v>
      </c>
      <c r="D32" s="17">
        <v>25000</v>
      </c>
      <c r="E32" s="17">
        <v>25000</v>
      </c>
      <c r="F32" s="17"/>
      <c r="G32" s="18">
        <f>21726-G26-G27-G28-99</f>
        <v>19721.830000000002</v>
      </c>
      <c r="H32" s="17">
        <v>150000</v>
      </c>
      <c r="I32" s="19"/>
      <c r="J32" s="277">
        <v>30803.73</v>
      </c>
      <c r="K32" s="251">
        <v>100000</v>
      </c>
      <c r="L32" s="19">
        <v>115000</v>
      </c>
      <c r="M32" s="19"/>
      <c r="N32" s="165">
        <f>Table1[[#This Row],[$  OF REDUCTION]]/Table1[[#This Row],[PROPOSED FY 2021]]</f>
        <v>0</v>
      </c>
      <c r="O32" s="19">
        <v>100000</v>
      </c>
      <c r="V32" s="122"/>
      <c r="AA32" s="11"/>
    </row>
    <row r="33" spans="1:27" s="23" customFormat="1" ht="25" thickBot="1" x14ac:dyDescent="0.35">
      <c r="A33" s="20" t="s">
        <v>70</v>
      </c>
      <c r="B33" s="21">
        <f>SUM(B3:B32)-B16-B21</f>
        <v>551468</v>
      </c>
      <c r="C33" s="21">
        <f>SUM(C3:C32)-C21-C16</f>
        <v>521518</v>
      </c>
      <c r="D33" s="21">
        <f>SUM(D3:D32)-D21-D16</f>
        <v>623190</v>
      </c>
      <c r="E33" s="159">
        <f>SUM(E2:E32)-E16-E21</f>
        <v>655082</v>
      </c>
      <c r="F33" s="159"/>
      <c r="G33" s="159">
        <f>SUM(G2:G32)-G16-G21</f>
        <v>615425.49999999988</v>
      </c>
      <c r="H33" s="159">
        <f>SUM(H2:H32)-H16-H21</f>
        <v>807812</v>
      </c>
      <c r="I33" s="159">
        <f>SUM(I3:I32)</f>
        <v>10000</v>
      </c>
      <c r="J33" s="279">
        <f>SUM(J2:J32)-J16-J21</f>
        <v>452907.08</v>
      </c>
      <c r="K33" s="255">
        <f>SUM(K2:K32)-K16-K21</f>
        <v>881206</v>
      </c>
      <c r="L33" s="160">
        <f>SUM(L2:L32)-L16-L21</f>
        <v>896206</v>
      </c>
      <c r="M33" s="160">
        <f>Table1[[#This Row],[PROPOSED FY 2021 WITH 14 % REDUCTION]]-Table1[[#This Row],[PROPOSED FY 2021]]</f>
        <v>15000</v>
      </c>
      <c r="N33" s="167">
        <f>Table1[[#This Row],[$  OF REDUCTION]]/Table1[[#This Row],[PROPOSED FY 2021]]</f>
        <v>1.7022126494826408E-2</v>
      </c>
      <c r="O33" s="227">
        <f>SUM(O2:O32)-O16-O21</f>
        <v>881206</v>
      </c>
      <c r="V33" s="123"/>
      <c r="W33" s="123"/>
      <c r="X33" s="123"/>
      <c r="Y33" s="123"/>
      <c r="Z33" s="123"/>
    </row>
    <row r="34" spans="1:27" s="23" customFormat="1" x14ac:dyDescent="0.3">
      <c r="A34" s="27"/>
      <c r="B34" s="28"/>
      <c r="C34" s="28"/>
      <c r="D34" s="28"/>
      <c r="E34" s="29"/>
      <c r="F34" s="29"/>
      <c r="G34" s="30"/>
      <c r="H34" s="29"/>
      <c r="I34" s="29"/>
      <c r="J34" s="280"/>
      <c r="K34" s="29"/>
      <c r="L34" s="29"/>
      <c r="M34" s="29"/>
      <c r="N34" s="168"/>
      <c r="O34" s="228"/>
      <c r="V34" s="123"/>
      <c r="W34" s="123"/>
      <c r="X34" s="123"/>
      <c r="Y34" s="123"/>
      <c r="Z34" s="123"/>
    </row>
    <row r="35" spans="1:27" ht="25" thickBot="1" x14ac:dyDescent="0.35">
      <c r="A35" s="135"/>
      <c r="B35" s="136"/>
      <c r="C35" s="136"/>
      <c r="D35" s="136"/>
      <c r="E35" s="136"/>
      <c r="F35" s="136"/>
      <c r="G35" s="137"/>
      <c r="H35" s="136"/>
      <c r="I35" s="136"/>
      <c r="J35" s="281"/>
      <c r="K35" s="136"/>
      <c r="L35" s="136"/>
      <c r="M35" s="136"/>
      <c r="N35" s="169"/>
      <c r="O35" s="229"/>
      <c r="V35" s="122"/>
      <c r="AA35" s="11"/>
    </row>
    <row r="36" spans="1:27" s="34" customFormat="1" ht="27" thickBot="1" x14ac:dyDescent="0.35">
      <c r="A36" s="138" t="s">
        <v>71</v>
      </c>
      <c r="B36" s="139"/>
      <c r="C36" s="139"/>
      <c r="D36" s="139"/>
      <c r="E36" s="139"/>
      <c r="F36" s="139"/>
      <c r="G36" s="140"/>
      <c r="H36" s="139"/>
      <c r="I36" s="141"/>
      <c r="J36" s="282"/>
      <c r="K36" s="256"/>
      <c r="L36" s="141"/>
      <c r="M36" s="141"/>
      <c r="N36" s="170"/>
      <c r="O36" s="141"/>
      <c r="V36" s="124"/>
      <c r="W36" s="124"/>
      <c r="X36" s="124"/>
      <c r="Y36" s="124"/>
      <c r="Z36" s="124"/>
    </row>
    <row r="37" spans="1:27" ht="25" thickBot="1" x14ac:dyDescent="0.35">
      <c r="A37" s="35"/>
      <c r="B37" s="36"/>
      <c r="C37" s="36"/>
      <c r="D37" s="36"/>
      <c r="E37" s="36"/>
      <c r="F37" s="36"/>
      <c r="G37" s="37"/>
      <c r="H37" s="36"/>
      <c r="I37" s="38"/>
      <c r="J37" s="283"/>
      <c r="K37" s="51"/>
      <c r="L37" s="38"/>
      <c r="M37" s="38"/>
      <c r="N37" s="171"/>
      <c r="O37" s="38"/>
      <c r="V37" s="122"/>
      <c r="AA37" s="11"/>
    </row>
    <row r="38" spans="1:27" s="23" customFormat="1" ht="25" thickBot="1" x14ac:dyDescent="0.35">
      <c r="A38" s="39" t="s">
        <v>26</v>
      </c>
      <c r="B38" s="40">
        <f>SUM(B39:B49)</f>
        <v>128700</v>
      </c>
      <c r="C38" s="40">
        <f>SUM(C39:C49)</f>
        <v>301710</v>
      </c>
      <c r="D38" s="40">
        <f>SUM(D39:D49)</f>
        <v>228224</v>
      </c>
      <c r="E38" s="40">
        <f>SUM(E40:E49)</f>
        <v>278580</v>
      </c>
      <c r="F38" s="40"/>
      <c r="G38" s="41">
        <f>SUM(G39:G49)</f>
        <v>198323.88</v>
      </c>
      <c r="H38" s="40">
        <f>SUM(H40:H50)</f>
        <v>329764</v>
      </c>
      <c r="I38" s="40"/>
      <c r="J38" s="143">
        <f>SUM(J40:J50)</f>
        <v>160536.74000000002</v>
      </c>
      <c r="K38" s="257">
        <f>SUM(K39:K50)</f>
        <v>375012</v>
      </c>
      <c r="L38" s="42">
        <f>SUM(L39:L50)</f>
        <v>375012</v>
      </c>
      <c r="M38" s="42"/>
      <c r="N38" s="209">
        <f>Table1[[#This Row],[$  OF REDUCTION]]/Table1[[#This Row],[PROPOSED FY 2021]]</f>
        <v>0</v>
      </c>
      <c r="O38" s="42">
        <f>SUM(O39:O50)</f>
        <v>375012</v>
      </c>
      <c r="V38" s="115"/>
      <c r="W38" s="123"/>
      <c r="X38" s="123"/>
      <c r="Y38" s="123"/>
      <c r="Z38" s="115"/>
    </row>
    <row r="39" spans="1:27" ht="25" thickBot="1" x14ac:dyDescent="0.35">
      <c r="A39" s="43" t="s">
        <v>53</v>
      </c>
      <c r="B39" s="44">
        <v>100000</v>
      </c>
      <c r="C39" s="44">
        <v>75000</v>
      </c>
      <c r="D39" s="44">
        <v>60000</v>
      </c>
      <c r="E39" s="44"/>
      <c r="F39" s="44"/>
      <c r="G39" s="45"/>
      <c r="H39" s="44"/>
      <c r="I39" s="46"/>
      <c r="J39" s="284"/>
      <c r="K39" s="258"/>
      <c r="L39" s="46"/>
      <c r="M39" s="46"/>
      <c r="N39" s="209"/>
      <c r="O39" s="46"/>
      <c r="V39" s="115"/>
      <c r="Z39" s="115"/>
      <c r="AA39" s="11"/>
    </row>
    <row r="40" spans="1:27" ht="25" thickBot="1" x14ac:dyDescent="0.35">
      <c r="A40" s="47" t="s">
        <v>27</v>
      </c>
      <c r="B40" s="48"/>
      <c r="C40" s="48"/>
      <c r="D40" s="48"/>
      <c r="E40" s="48">
        <v>48500</v>
      </c>
      <c r="F40" s="48"/>
      <c r="G40" s="49">
        <v>32394.639999999999</v>
      </c>
      <c r="H40" s="48">
        <v>34000</v>
      </c>
      <c r="I40" s="50"/>
      <c r="J40" s="285">
        <v>18604.580000000002</v>
      </c>
      <c r="K40" s="259">
        <f>35364+5000</f>
        <v>40364</v>
      </c>
      <c r="L40" s="50">
        <f>Table1[[#This Row],[PROPOSED FY 2021]]</f>
        <v>40364</v>
      </c>
      <c r="M40" s="50"/>
      <c r="N40" s="209">
        <f>Table1[[#This Row],[$  OF REDUCTION]]/Table1[[#This Row],[PROPOSED FY 2021]]</f>
        <v>0</v>
      </c>
      <c r="O40" s="50">
        <v>40364</v>
      </c>
      <c r="V40" s="115"/>
      <c r="Z40" s="115"/>
      <c r="AA40" s="11"/>
    </row>
    <row r="41" spans="1:27" ht="25" thickBot="1" x14ac:dyDescent="0.35">
      <c r="A41" s="47" t="s">
        <v>28</v>
      </c>
      <c r="B41" s="48"/>
      <c r="C41" s="48"/>
      <c r="D41" s="48"/>
      <c r="E41" s="48"/>
      <c r="F41" s="48"/>
      <c r="G41" s="49"/>
      <c r="H41" s="48"/>
      <c r="I41" s="50"/>
      <c r="J41" s="285"/>
      <c r="K41" s="258">
        <v>40364</v>
      </c>
      <c r="L41" s="50">
        <f>Table1[[#This Row],[PROPOSED FY 2021]]</f>
        <v>40364</v>
      </c>
      <c r="M41" s="46"/>
      <c r="N41" s="209">
        <f>Table1[[#This Row],[$  OF REDUCTION]]/Table1[[#This Row],[PROPOSED FY 2021]]</f>
        <v>0</v>
      </c>
      <c r="O41" s="50">
        <v>40364</v>
      </c>
      <c r="V41" s="115"/>
      <c r="Z41" s="115"/>
      <c r="AA41" s="11"/>
    </row>
    <row r="42" spans="1:27" ht="25" thickBot="1" x14ac:dyDescent="0.35">
      <c r="A42" s="47" t="s">
        <v>29</v>
      </c>
      <c r="B42" s="48"/>
      <c r="C42" s="48">
        <v>60000</v>
      </c>
      <c r="D42" s="48">
        <v>60000</v>
      </c>
      <c r="E42" s="48">
        <v>60000</v>
      </c>
      <c r="F42" s="48"/>
      <c r="G42" s="49">
        <v>21640.89</v>
      </c>
      <c r="H42" s="48">
        <v>38000</v>
      </c>
      <c r="I42" s="50"/>
      <c r="J42" s="285">
        <v>21299</v>
      </c>
      <c r="K42" s="259">
        <f>35364+5000</f>
        <v>40364</v>
      </c>
      <c r="L42" s="50">
        <f>Table1[[#This Row],[PROPOSED FY 2021]]</f>
        <v>40364</v>
      </c>
      <c r="M42" s="50"/>
      <c r="N42" s="209">
        <f>Table1[[#This Row],[$  OF REDUCTION]]/Table1[[#This Row],[PROPOSED FY 2021]]</f>
        <v>0</v>
      </c>
      <c r="O42" s="50">
        <v>40364</v>
      </c>
      <c r="V42" s="115"/>
      <c r="Z42" s="115"/>
      <c r="AA42" s="11"/>
    </row>
    <row r="43" spans="1:27" ht="25" thickBot="1" x14ac:dyDescent="0.35">
      <c r="A43" s="47" t="s">
        <v>30</v>
      </c>
      <c r="B43" s="48"/>
      <c r="C43" s="48"/>
      <c r="D43" s="48"/>
      <c r="E43" s="48"/>
      <c r="F43" s="48"/>
      <c r="G43" s="49"/>
      <c r="H43" s="48">
        <v>16000</v>
      </c>
      <c r="I43" s="50"/>
      <c r="J43" s="285">
        <v>13600</v>
      </c>
      <c r="K43" s="258">
        <v>40364</v>
      </c>
      <c r="L43" s="50">
        <f>Table1[[#This Row],[PROPOSED FY 2021]]</f>
        <v>40364</v>
      </c>
      <c r="M43" s="46"/>
      <c r="N43" s="209">
        <f>Table1[[#This Row],[$  OF REDUCTION]]/Table1[[#This Row],[PROPOSED FY 2021]]</f>
        <v>0</v>
      </c>
      <c r="O43" s="50">
        <v>40364</v>
      </c>
      <c r="V43" s="115"/>
      <c r="Z43" s="115"/>
      <c r="AA43" s="11"/>
    </row>
    <row r="44" spans="1:27" ht="25" thickBot="1" x14ac:dyDescent="0.35">
      <c r="A44" s="47" t="s">
        <v>31</v>
      </c>
      <c r="B44" s="48">
        <v>28700</v>
      </c>
      <c r="C44" s="48">
        <v>46710</v>
      </c>
      <c r="D44" s="48">
        <v>48224</v>
      </c>
      <c r="E44" s="48">
        <v>35080</v>
      </c>
      <c r="F44" s="48"/>
      <c r="G44" s="49">
        <v>35080</v>
      </c>
      <c r="H44" s="48">
        <v>45000</v>
      </c>
      <c r="I44" s="50"/>
      <c r="J44" s="285">
        <v>45000</v>
      </c>
      <c r="K44" s="259">
        <f>35364+5000</f>
        <v>40364</v>
      </c>
      <c r="L44" s="50">
        <f>Table1[[#This Row],[PROPOSED FY 2021]]</f>
        <v>40364</v>
      </c>
      <c r="M44" s="50"/>
      <c r="N44" s="209">
        <f>Table1[[#This Row],[$  OF REDUCTION]]/Table1[[#This Row],[PROPOSED FY 2021]]</f>
        <v>0</v>
      </c>
      <c r="O44" s="50">
        <v>40364</v>
      </c>
      <c r="V44" s="115"/>
      <c r="Z44" s="115"/>
      <c r="AA44" s="11"/>
    </row>
    <row r="45" spans="1:27" ht="24" customHeight="1" thickBot="1" x14ac:dyDescent="0.35">
      <c r="A45" s="47" t="s">
        <v>32</v>
      </c>
      <c r="B45" s="48"/>
      <c r="C45" s="48">
        <v>60000</v>
      </c>
      <c r="D45" s="48"/>
      <c r="E45" s="48">
        <v>45000</v>
      </c>
      <c r="F45" s="48"/>
      <c r="G45" s="49">
        <v>24018.240000000002</v>
      </c>
      <c r="H45" s="48">
        <v>45000</v>
      </c>
      <c r="I45" s="50"/>
      <c r="J45" s="285">
        <v>15270</v>
      </c>
      <c r="K45" s="258">
        <v>40364</v>
      </c>
      <c r="L45" s="50">
        <f>Table1[[#This Row],[PROPOSED FY 2021]]</f>
        <v>40364</v>
      </c>
      <c r="M45" s="46"/>
      <c r="N45" s="209">
        <f>Table1[[#This Row],[$  OF REDUCTION]]/Table1[[#This Row],[PROPOSED FY 2021]]</f>
        <v>0</v>
      </c>
      <c r="O45" s="50">
        <v>40364</v>
      </c>
      <c r="V45" s="115"/>
      <c r="Z45" s="115"/>
      <c r="AA45" s="11"/>
    </row>
    <row r="46" spans="1:27" ht="25" thickBot="1" x14ac:dyDescent="0.35">
      <c r="A46" s="47" t="s">
        <v>33</v>
      </c>
      <c r="B46" s="48"/>
      <c r="C46" s="48"/>
      <c r="D46" s="48"/>
      <c r="E46" s="48"/>
      <c r="F46" s="51"/>
      <c r="G46" s="52"/>
      <c r="H46" s="48">
        <v>45000</v>
      </c>
      <c r="I46" s="50"/>
      <c r="J46" s="285">
        <v>33528</v>
      </c>
      <c r="K46" s="259">
        <f>35364+5000</f>
        <v>40364</v>
      </c>
      <c r="L46" s="50">
        <f>Table1[[#This Row],[PROPOSED FY 2021]]</f>
        <v>40364</v>
      </c>
      <c r="M46" s="50"/>
      <c r="N46" s="209">
        <f>Table1[[#This Row],[$  OF REDUCTION]]/Table1[[#This Row],[PROPOSED FY 2021]]</f>
        <v>0</v>
      </c>
      <c r="O46" s="50">
        <v>40364</v>
      </c>
      <c r="V46" s="115"/>
      <c r="Z46" s="115"/>
      <c r="AA46" s="11"/>
    </row>
    <row r="47" spans="1:27" ht="25" thickBot="1" x14ac:dyDescent="0.35">
      <c r="A47" s="47" t="s">
        <v>76</v>
      </c>
      <c r="B47" s="48"/>
      <c r="C47" s="48"/>
      <c r="D47" s="48"/>
      <c r="E47" s="48"/>
      <c r="F47" s="115"/>
      <c r="G47" s="52"/>
      <c r="H47" s="48">
        <v>0</v>
      </c>
      <c r="I47" s="50"/>
      <c r="J47" s="285">
        <v>0</v>
      </c>
      <c r="K47" s="258">
        <v>0</v>
      </c>
      <c r="L47" s="50">
        <f>Table1[[#This Row],[PROPOSED FY 2021]]</f>
        <v>0</v>
      </c>
      <c r="M47" s="46"/>
      <c r="N47" s="209" t="e">
        <f>Table1[[#This Row],[$  OF REDUCTION]]/Table1[[#This Row],[PROPOSED FY 2021]]</f>
        <v>#DIV/0!</v>
      </c>
      <c r="O47" s="50">
        <v>0</v>
      </c>
      <c r="V47" s="115"/>
      <c r="Z47" s="115"/>
      <c r="AA47" s="11"/>
    </row>
    <row r="48" spans="1:27" ht="25" thickBot="1" x14ac:dyDescent="0.35">
      <c r="A48" s="47" t="s">
        <v>34</v>
      </c>
      <c r="B48" s="48"/>
      <c r="C48" s="48">
        <v>60000</v>
      </c>
      <c r="D48" s="48">
        <v>60000</v>
      </c>
      <c r="E48" s="48">
        <v>70000</v>
      </c>
      <c r="F48" s="48"/>
      <c r="G48" s="49">
        <v>72627.759999999995</v>
      </c>
      <c r="H48" s="48">
        <v>71200</v>
      </c>
      <c r="I48" s="50"/>
      <c r="J48" s="285"/>
      <c r="K48" s="258">
        <v>50900</v>
      </c>
      <c r="L48" s="50">
        <f>Table1[[#This Row],[PROPOSED FY 2021]]</f>
        <v>50900</v>
      </c>
      <c r="M48" s="46"/>
      <c r="N48" s="209">
        <f>Table1[[#This Row],[$  OF REDUCTION]]/Table1[[#This Row],[PROPOSED FY 2021]]</f>
        <v>0</v>
      </c>
      <c r="O48" s="50">
        <v>50900</v>
      </c>
      <c r="V48" s="115"/>
      <c r="Z48" s="115"/>
      <c r="AA48" s="11"/>
    </row>
    <row r="49" spans="1:27" ht="25" thickBot="1" x14ac:dyDescent="0.35">
      <c r="A49" s="47" t="s">
        <v>35</v>
      </c>
      <c r="B49" s="48"/>
      <c r="C49" s="48"/>
      <c r="D49" s="48"/>
      <c r="E49" s="48">
        <v>20000</v>
      </c>
      <c r="F49" s="48"/>
      <c r="G49" s="49">
        <v>12562.35</v>
      </c>
      <c r="H49" s="48">
        <v>35564</v>
      </c>
      <c r="I49" s="50"/>
      <c r="J49" s="285">
        <v>12235.16</v>
      </c>
      <c r="K49" s="259">
        <f>35364+5000+200</f>
        <v>40564</v>
      </c>
      <c r="L49" s="50">
        <f>Table1[[#This Row],[PROPOSED FY 2021]]</f>
        <v>40564</v>
      </c>
      <c r="M49" s="50"/>
      <c r="N49" s="209">
        <f>Table1[[#This Row],[$  OF REDUCTION]]/Table1[[#This Row],[PROPOSED FY 2021]]</f>
        <v>0</v>
      </c>
      <c r="O49" s="50">
        <v>40564</v>
      </c>
      <c r="V49" s="115"/>
      <c r="Z49" s="115"/>
      <c r="AA49" s="11"/>
    </row>
    <row r="50" spans="1:27" ht="25" thickBot="1" x14ac:dyDescent="0.35">
      <c r="A50" s="47" t="s">
        <v>58</v>
      </c>
      <c r="B50" s="48"/>
      <c r="C50" s="48"/>
      <c r="D50" s="48"/>
      <c r="E50" s="48"/>
      <c r="F50" s="48"/>
      <c r="G50" s="49"/>
      <c r="H50" s="48"/>
      <c r="I50" s="50"/>
      <c r="J50" s="285">
        <v>1000</v>
      </c>
      <c r="K50" s="258">
        <v>1000</v>
      </c>
      <c r="L50" s="46">
        <v>1000</v>
      </c>
      <c r="M50" s="46"/>
      <c r="N50" s="209">
        <f>Table1[[#This Row],[$  OF REDUCTION]]/Table1[[#This Row],[PROPOSED FY 2021]]</f>
        <v>0</v>
      </c>
      <c r="O50" s="46">
        <v>1000</v>
      </c>
      <c r="V50" s="115"/>
      <c r="Z50" s="115"/>
      <c r="AA50" s="11"/>
    </row>
    <row r="51" spans="1:27" ht="25" thickBot="1" x14ac:dyDescent="0.35">
      <c r="A51" s="47"/>
      <c r="B51" s="48"/>
      <c r="C51" s="48"/>
      <c r="D51" s="48"/>
      <c r="E51" s="48"/>
      <c r="F51" s="48"/>
      <c r="G51" s="49"/>
      <c r="H51" s="48"/>
      <c r="I51" s="50"/>
      <c r="J51" s="285"/>
      <c r="K51" s="259"/>
      <c r="L51" s="50"/>
      <c r="M51" s="50"/>
      <c r="N51" s="209" t="e">
        <f>Table1[[#This Row],[$  OF REDUCTION]]/Table1[[#This Row],[PROPOSED FY 2021]]</f>
        <v>#DIV/0!</v>
      </c>
      <c r="O51" s="50"/>
      <c r="V51" s="115"/>
      <c r="Z51" s="115"/>
      <c r="AA51" s="11"/>
    </row>
    <row r="52" spans="1:27" ht="25" thickBot="1" x14ac:dyDescent="0.35">
      <c r="A52" s="53" t="s">
        <v>36</v>
      </c>
      <c r="B52" s="48">
        <v>12000</v>
      </c>
      <c r="C52" s="48">
        <v>12000</v>
      </c>
      <c r="D52" s="48"/>
      <c r="E52" s="48"/>
      <c r="F52" s="48"/>
      <c r="G52" s="49"/>
      <c r="H52" s="48">
        <v>15000</v>
      </c>
      <c r="I52" s="50"/>
      <c r="J52" s="285">
        <v>15000</v>
      </c>
      <c r="K52" s="259">
        <v>15000</v>
      </c>
      <c r="L52" s="50">
        <v>15000</v>
      </c>
      <c r="M52" s="50"/>
      <c r="N52" s="209">
        <f>Table1[[#This Row],[$  OF REDUCTION]]/Table1[[#This Row],[PROPOSED FY 2021]]</f>
        <v>0</v>
      </c>
      <c r="O52" s="50">
        <v>15000</v>
      </c>
      <c r="V52" s="115"/>
      <c r="Z52" s="115"/>
      <c r="AA52" s="11"/>
    </row>
    <row r="53" spans="1:27" ht="25" thickBot="1" x14ac:dyDescent="0.35">
      <c r="A53" s="53" t="s">
        <v>37</v>
      </c>
      <c r="B53" s="48">
        <v>75000</v>
      </c>
      <c r="C53" s="48"/>
      <c r="D53" s="48">
        <v>150000</v>
      </c>
      <c r="E53" s="48">
        <v>200000</v>
      </c>
      <c r="F53" s="48"/>
      <c r="G53" s="49">
        <v>200000</v>
      </c>
      <c r="H53" s="48">
        <v>192000</v>
      </c>
      <c r="I53" s="50"/>
      <c r="J53" s="285">
        <v>144000</v>
      </c>
      <c r="K53" s="259">
        <v>200000</v>
      </c>
      <c r="L53" s="50">
        <v>172000</v>
      </c>
      <c r="M53" s="50">
        <f>Table1[[#This Row],[PROPOSED FY 2021]]-Table1[[#This Row],[PROPOSED FY 2021 WITH 14 % REDUCTION]]</f>
        <v>28000</v>
      </c>
      <c r="N53" s="209">
        <f>Table1[[#This Row],[$  OF REDUCTION]]/Table1[[#This Row],[PROPOSED FY 2021]]</f>
        <v>0.14000000000000001</v>
      </c>
      <c r="O53" s="50">
        <v>170880</v>
      </c>
      <c r="V53" s="115"/>
      <c r="Z53" s="115"/>
      <c r="AA53" s="11"/>
    </row>
    <row r="54" spans="1:27" ht="25" thickBot="1" x14ac:dyDescent="0.35">
      <c r="A54" s="53" t="s">
        <v>38</v>
      </c>
      <c r="B54" s="48"/>
      <c r="C54" s="48">
        <v>194628</v>
      </c>
      <c r="D54" s="48"/>
      <c r="E54" s="48"/>
      <c r="F54" s="48"/>
      <c r="G54" s="49"/>
      <c r="H54" s="50">
        <v>225000</v>
      </c>
      <c r="I54" s="50"/>
      <c r="J54" s="285">
        <v>100169.33</v>
      </c>
      <c r="K54" s="260">
        <v>225000</v>
      </c>
      <c r="L54" s="48">
        <v>193500</v>
      </c>
      <c r="M54" s="48">
        <f>Table1[[#This Row],[PROPOSED FY 2021]]-Table1[[#This Row],[PROPOSED FY 2021 WITH 14 % REDUCTION]]</f>
        <v>31500</v>
      </c>
      <c r="N54" s="209">
        <f>Table1[[#This Row],[$  OF REDUCTION]]/Table1[[#This Row],[PROPOSED FY 2021]]</f>
        <v>0.14000000000000001</v>
      </c>
      <c r="O54" s="48">
        <v>200250</v>
      </c>
      <c r="V54" s="115"/>
      <c r="Z54" s="115"/>
      <c r="AA54" s="11"/>
    </row>
    <row r="55" spans="1:27" ht="25" hidden="1" thickBot="1" x14ac:dyDescent="0.35">
      <c r="A55" s="53" t="s">
        <v>54</v>
      </c>
      <c r="B55" s="48">
        <v>108900</v>
      </c>
      <c r="C55" s="48"/>
      <c r="D55" s="48"/>
      <c r="E55" s="48"/>
      <c r="F55" s="50"/>
      <c r="G55" s="54"/>
      <c r="H55" s="50"/>
      <c r="I55" s="50"/>
      <c r="J55" s="285"/>
      <c r="K55" s="260"/>
      <c r="L55" s="48"/>
      <c r="M55" s="48"/>
      <c r="N55" s="209" t="e">
        <f>Table1[[#This Row],[$  OF REDUCTION]]/Table1[[#This Row],[PROPOSED FY 2021]]</f>
        <v>#DIV/0!</v>
      </c>
      <c r="O55" s="48"/>
      <c r="V55" s="115"/>
      <c r="Z55" s="115"/>
      <c r="AA55" s="11"/>
    </row>
    <row r="56" spans="1:27" ht="25" hidden="1" thickBot="1" x14ac:dyDescent="0.35">
      <c r="A56" s="53" t="s">
        <v>55</v>
      </c>
      <c r="B56" s="48">
        <v>113989</v>
      </c>
      <c r="C56" s="48"/>
      <c r="D56" s="48"/>
      <c r="E56" s="48"/>
      <c r="F56" s="50"/>
      <c r="G56" s="54"/>
      <c r="H56" s="50"/>
      <c r="I56" s="50"/>
      <c r="J56" s="285"/>
      <c r="K56" s="260"/>
      <c r="L56" s="48"/>
      <c r="M56" s="48"/>
      <c r="N56" s="209" t="e">
        <f>Table1[[#This Row],[$  OF REDUCTION]]/Table1[[#This Row],[PROPOSED FY 2021]]</f>
        <v>#DIV/0!</v>
      </c>
      <c r="O56" s="48"/>
      <c r="V56" s="115"/>
      <c r="Z56" s="115"/>
      <c r="AA56" s="11"/>
    </row>
    <row r="57" spans="1:27" ht="25" hidden="1" thickBot="1" x14ac:dyDescent="0.35">
      <c r="A57" s="53" t="s">
        <v>56</v>
      </c>
      <c r="B57" s="48">
        <v>31200</v>
      </c>
      <c r="C57" s="48"/>
      <c r="D57" s="48"/>
      <c r="E57" s="48"/>
      <c r="F57" s="50"/>
      <c r="G57" s="54"/>
      <c r="H57" s="50"/>
      <c r="I57" s="50"/>
      <c r="J57" s="285"/>
      <c r="K57" s="260"/>
      <c r="L57" s="48"/>
      <c r="M57" s="48"/>
      <c r="N57" s="209" t="e">
        <f>Table1[[#This Row],[$  OF REDUCTION]]/Table1[[#This Row],[PROPOSED FY 2021]]</f>
        <v>#DIV/0!</v>
      </c>
      <c r="O57" s="48"/>
      <c r="V57" s="115"/>
      <c r="Z57" s="115"/>
      <c r="AA57" s="11"/>
    </row>
    <row r="58" spans="1:27" ht="25" hidden="1" thickBot="1" x14ac:dyDescent="0.35">
      <c r="A58" s="53" t="s">
        <v>57</v>
      </c>
      <c r="B58" s="48">
        <v>18750</v>
      </c>
      <c r="C58" s="48"/>
      <c r="D58" s="48"/>
      <c r="E58" s="48"/>
      <c r="F58" s="50"/>
      <c r="G58" s="54"/>
      <c r="H58" s="50"/>
      <c r="I58" s="50"/>
      <c r="J58" s="285"/>
      <c r="K58" s="260"/>
      <c r="L58" s="48"/>
      <c r="M58" s="48"/>
      <c r="N58" s="209" t="e">
        <f>Table1[[#This Row],[$  OF REDUCTION]]/Table1[[#This Row],[PROPOSED FY 2021]]</f>
        <v>#DIV/0!</v>
      </c>
      <c r="O58" s="48"/>
      <c r="V58" s="115"/>
      <c r="Z58" s="115"/>
      <c r="AA58" s="11"/>
    </row>
    <row r="59" spans="1:27" ht="25" thickBot="1" x14ac:dyDescent="0.35">
      <c r="A59" s="55" t="s">
        <v>77</v>
      </c>
      <c r="B59" s="56"/>
      <c r="C59" s="56"/>
      <c r="D59" s="56"/>
      <c r="E59" s="56"/>
      <c r="F59" s="116"/>
      <c r="G59" s="58"/>
      <c r="H59" s="57"/>
      <c r="I59" s="57"/>
      <c r="J59" s="285"/>
      <c r="K59" s="259">
        <v>200000</v>
      </c>
      <c r="L59" s="50">
        <v>100000</v>
      </c>
      <c r="M59" s="50">
        <v>100000</v>
      </c>
      <c r="N59" s="209">
        <f>Table1[[#This Row],[$  OF REDUCTION]]/Table1[[#This Row],[PROPOSED FY 2021]]</f>
        <v>0.5</v>
      </c>
      <c r="O59" s="50">
        <v>100000</v>
      </c>
      <c r="V59" s="115"/>
      <c r="Z59" s="115"/>
      <c r="AA59" s="11"/>
    </row>
    <row r="60" spans="1:27" ht="25" thickBot="1" x14ac:dyDescent="0.35">
      <c r="A60" s="55" t="s">
        <v>67</v>
      </c>
      <c r="B60" s="56"/>
      <c r="C60" s="56"/>
      <c r="D60" s="56"/>
      <c r="E60" s="56"/>
      <c r="F60" s="57">
        <v>100000</v>
      </c>
      <c r="G60" s="58">
        <v>100000</v>
      </c>
      <c r="H60" s="57"/>
      <c r="I60" s="57"/>
      <c r="J60" s="286"/>
      <c r="K60" s="261">
        <v>0</v>
      </c>
      <c r="L60" s="56"/>
      <c r="M60" s="56"/>
      <c r="N60" s="172"/>
      <c r="O60" s="56"/>
      <c r="V60" s="122"/>
      <c r="Z60" s="115"/>
      <c r="AA60" s="11"/>
    </row>
    <row r="61" spans="1:27" s="23" customFormat="1" ht="27" thickBot="1" x14ac:dyDescent="0.35">
      <c r="A61" s="142" t="s">
        <v>39</v>
      </c>
      <c r="B61" s="40">
        <f>SUM(B39:B60)</f>
        <v>488539</v>
      </c>
      <c r="C61" s="40">
        <f>SUM(C40:C60)</f>
        <v>433338</v>
      </c>
      <c r="D61" s="40">
        <f>SUM(D38:D60)-D38</f>
        <v>378224</v>
      </c>
      <c r="E61" s="40">
        <f>SUM(E40:E60)</f>
        <v>478580</v>
      </c>
      <c r="F61" s="40">
        <f>SUM(F40:F60)</f>
        <v>100000</v>
      </c>
      <c r="G61" s="40">
        <f>SUM(G40:G60)</f>
        <v>498323.88</v>
      </c>
      <c r="H61" s="40">
        <f>SUM(H40:H60)</f>
        <v>761764</v>
      </c>
      <c r="I61" s="40"/>
      <c r="J61" s="143">
        <f>SUM(J40:J60)</f>
        <v>419706.07</v>
      </c>
      <c r="K61" s="162">
        <f>SUBTOTAL(109,K40:K60)</f>
        <v>1015012</v>
      </c>
      <c r="L61" s="143">
        <f>SUBTOTAL(109,L40:L60)</f>
        <v>855512</v>
      </c>
      <c r="M61" s="162">
        <f>Table1[[#This Row],[PROPOSED FY 2021 WITH 14 % REDUCTION]]-Table1[[#This Row],[PROPOSED FY 2021]]</f>
        <v>-159500</v>
      </c>
      <c r="N61" s="210">
        <f>Table1[[#This Row],[$  OF REDUCTION]]/Table1[[#This Row],[PROPOSED FY 2021]]</f>
        <v>-0.15714099931823466</v>
      </c>
      <c r="O61" s="143">
        <f>SUBTOTAL(109,O40:O60)</f>
        <v>861142</v>
      </c>
      <c r="V61" s="123"/>
      <c r="W61" s="123"/>
      <c r="X61" s="123"/>
      <c r="Y61" s="123"/>
      <c r="Z61" s="123"/>
    </row>
    <row r="62" spans="1:27" x14ac:dyDescent="0.3">
      <c r="A62" s="27"/>
      <c r="B62" s="28"/>
      <c r="C62" s="28"/>
      <c r="D62" s="28"/>
      <c r="E62" s="28"/>
      <c r="F62" s="28"/>
      <c r="G62" s="59"/>
      <c r="H62" s="28"/>
      <c r="I62" s="28"/>
      <c r="J62" s="287"/>
      <c r="K62" s="28"/>
      <c r="L62" s="28"/>
      <c r="M62" s="28"/>
      <c r="N62" s="173"/>
      <c r="O62" s="28"/>
      <c r="V62" s="122"/>
      <c r="AA62" s="11"/>
    </row>
    <row r="63" spans="1:27" s="60" customFormat="1" ht="27" thickBot="1" x14ac:dyDescent="0.35">
      <c r="A63" s="31"/>
      <c r="B63" s="32"/>
      <c r="C63" s="32"/>
      <c r="D63" s="32"/>
      <c r="E63" s="32"/>
      <c r="F63" s="32"/>
      <c r="G63" s="33"/>
      <c r="H63" s="32"/>
      <c r="I63" s="32"/>
      <c r="J63" s="288"/>
      <c r="K63" s="32"/>
      <c r="L63" s="32"/>
      <c r="M63" s="32"/>
      <c r="N63" s="174"/>
      <c r="O63" s="32"/>
      <c r="V63" s="125"/>
      <c r="W63" s="125"/>
      <c r="X63" s="125"/>
      <c r="Y63" s="125"/>
      <c r="Z63" s="125"/>
    </row>
    <row r="64" spans="1:27" ht="27" thickBot="1" x14ac:dyDescent="0.35">
      <c r="A64" s="144" t="s">
        <v>73</v>
      </c>
      <c r="B64" s="145">
        <v>150000</v>
      </c>
      <c r="C64" s="145"/>
      <c r="D64" s="145"/>
      <c r="E64" s="145">
        <v>150000</v>
      </c>
      <c r="F64" s="118"/>
      <c r="G64" s="146">
        <v>129857.7</v>
      </c>
      <c r="H64" s="145">
        <v>192000</v>
      </c>
      <c r="I64" s="147"/>
      <c r="J64" s="148">
        <v>174717.74</v>
      </c>
      <c r="K64" s="163">
        <v>192000</v>
      </c>
      <c r="L64" s="163">
        <v>141500</v>
      </c>
      <c r="M64" s="163">
        <f>Table1[[#This Row],[PROPOSED FY 2021 WITH 14 % REDUCTION]]-Table1[[#This Row],[PROPOSED FY 2021]]</f>
        <v>-50500</v>
      </c>
      <c r="N64" s="175">
        <f>Table1[[#This Row],[$  OF REDUCTION]]/Table1[[#This Row],[PROPOSED FY 2021]]</f>
        <v>-0.26302083333333331</v>
      </c>
      <c r="O64" s="163">
        <v>141500</v>
      </c>
      <c r="V64" s="122"/>
      <c r="AA64" s="11"/>
    </row>
    <row r="65" spans="1:27" ht="27" thickBot="1" x14ac:dyDescent="0.35">
      <c r="A65" s="117" t="s">
        <v>78</v>
      </c>
      <c r="B65" s="118"/>
      <c r="C65" s="118"/>
      <c r="D65" s="118"/>
      <c r="E65" s="118"/>
      <c r="F65" s="118"/>
      <c r="G65" s="119"/>
      <c r="H65" s="118"/>
      <c r="I65" s="118"/>
      <c r="J65" s="163"/>
      <c r="K65" s="118">
        <v>0</v>
      </c>
      <c r="L65" s="118"/>
      <c r="M65" s="163"/>
      <c r="N65" s="175"/>
      <c r="O65" s="118"/>
      <c r="V65" s="122"/>
      <c r="AA65" s="11"/>
    </row>
    <row r="66" spans="1:27" s="61" customFormat="1" ht="27" thickBot="1" x14ac:dyDescent="0.35">
      <c r="A66" s="109" t="s">
        <v>74</v>
      </c>
      <c r="B66" s="110">
        <v>491175</v>
      </c>
      <c r="C66" s="110">
        <v>491560</v>
      </c>
      <c r="D66" s="110">
        <v>491708</v>
      </c>
      <c r="E66" s="110">
        <v>502322</v>
      </c>
      <c r="F66" s="111">
        <v>174641</v>
      </c>
      <c r="G66" s="114">
        <v>676963</v>
      </c>
      <c r="H66" s="110">
        <v>482437</v>
      </c>
      <c r="I66" s="112">
        <v>25930.67</v>
      </c>
      <c r="J66" s="113">
        <v>482437.44</v>
      </c>
      <c r="K66" s="262">
        <v>472387</v>
      </c>
      <c r="L66" s="186">
        <v>432183.49</v>
      </c>
      <c r="M66" s="163">
        <f>Table1[[#This Row],[PROPOSED FY 2021 WITH 14 % REDUCTION]]-Table1[[#This Row],[PROPOSED FY 2021]]</f>
        <v>-40203.510000000009</v>
      </c>
      <c r="N66" s="175">
        <f>Table1[[#This Row],[$  OF REDUCTION]]/Table1[[#This Row],[PROPOSED FY 2021]]</f>
        <v>-8.5107147317771248E-2</v>
      </c>
      <c r="O66" s="186">
        <v>447260</v>
      </c>
      <c r="V66" s="126"/>
      <c r="W66" s="126"/>
      <c r="X66" s="126"/>
      <c r="Y66" s="126"/>
      <c r="Z66" s="126"/>
    </row>
    <row r="67" spans="1:27" s="61" customFormat="1" ht="26" x14ac:dyDescent="0.3">
      <c r="A67" s="62"/>
      <c r="B67" s="63"/>
      <c r="C67" s="63"/>
      <c r="D67" s="63"/>
      <c r="E67" s="63"/>
      <c r="F67" s="63"/>
      <c r="G67" s="64"/>
      <c r="H67" s="63"/>
      <c r="I67" s="63"/>
      <c r="J67" s="289"/>
      <c r="K67" s="63"/>
      <c r="L67" s="63">
        <f>Table1[[#This Row],[PROPOSED FY 2021]]*14%</f>
        <v>0</v>
      </c>
      <c r="M67" s="63"/>
      <c r="N67" s="176"/>
      <c r="O67" s="63"/>
      <c r="V67" s="126"/>
      <c r="W67" s="126"/>
      <c r="X67" s="126"/>
      <c r="Y67" s="126"/>
      <c r="Z67" s="126"/>
    </row>
    <row r="68" spans="1:27" s="61" customFormat="1" ht="27" thickBot="1" x14ac:dyDescent="0.35">
      <c r="A68" s="149"/>
      <c r="B68" s="150"/>
      <c r="C68" s="150"/>
      <c r="D68" s="150"/>
      <c r="E68" s="150"/>
      <c r="F68" s="150"/>
      <c r="G68" s="151"/>
      <c r="H68" s="150"/>
      <c r="I68" s="150"/>
      <c r="J68" s="290"/>
      <c r="K68" s="150"/>
      <c r="L68" s="150">
        <f>Table1[[#This Row],[PROPOSED FY 2021]]*14%</f>
        <v>0</v>
      </c>
      <c r="M68" s="150"/>
      <c r="N68" s="177"/>
      <c r="O68" s="230"/>
      <c r="V68" s="126"/>
      <c r="W68" s="126"/>
      <c r="X68" s="126"/>
      <c r="Y68" s="126"/>
      <c r="Z68" s="126"/>
    </row>
    <row r="69" spans="1:27" s="61" customFormat="1" ht="27" thickBot="1" x14ac:dyDescent="0.35">
      <c r="A69" s="152" t="s">
        <v>45</v>
      </c>
      <c r="B69" s="153"/>
      <c r="C69" s="153"/>
      <c r="D69" s="153"/>
      <c r="E69" s="153"/>
      <c r="F69" s="153"/>
      <c r="G69" s="154"/>
      <c r="H69" s="153"/>
      <c r="I69" s="155"/>
      <c r="J69" s="291"/>
      <c r="K69" s="263"/>
      <c r="L69" s="155">
        <f>Table1[[#This Row],[PROPOSED FY 2021]]*14%</f>
        <v>0</v>
      </c>
      <c r="M69" s="155"/>
      <c r="N69" s="178"/>
      <c r="O69" s="155"/>
      <c r="V69" s="126"/>
      <c r="W69" s="126"/>
      <c r="X69" s="126"/>
      <c r="Y69" s="126"/>
      <c r="Z69" s="126"/>
    </row>
    <row r="70" spans="1:27" s="61" customFormat="1" x14ac:dyDescent="0.3">
      <c r="A70" s="65" t="s">
        <v>46</v>
      </c>
      <c r="B70" s="66">
        <v>148350</v>
      </c>
      <c r="C70" s="66">
        <v>152100</v>
      </c>
      <c r="D70" s="66">
        <v>165000</v>
      </c>
      <c r="E70" s="66">
        <v>155000</v>
      </c>
      <c r="F70" s="66"/>
      <c r="G70" s="67">
        <f>121978.4</f>
        <v>121978.4</v>
      </c>
      <c r="H70" s="66">
        <f>155000-42000</f>
        <v>113000</v>
      </c>
      <c r="I70" s="68"/>
      <c r="J70" s="292">
        <v>113000</v>
      </c>
      <c r="K70" s="264">
        <v>159000</v>
      </c>
      <c r="L70" s="68">
        <v>159000</v>
      </c>
      <c r="M70" s="68">
        <f>Table1[[#This Row],[PROPOSED FY 2021]]-Table1[[#This Row],[PROPOSED FY 2021 WITH 14 % REDUCTION]]</f>
        <v>0</v>
      </c>
      <c r="N70" s="179">
        <f>Table1[[#This Row],[$  OF REDUCTION]]/Table1[[#This Row],[PROPOSED FY 2021]]</f>
        <v>0</v>
      </c>
      <c r="O70" s="68">
        <v>159000</v>
      </c>
      <c r="V70" s="126"/>
      <c r="W70" s="126"/>
      <c r="X70" s="126"/>
      <c r="Y70" s="126"/>
      <c r="Z70" s="126"/>
    </row>
    <row r="71" spans="1:27" s="23" customFormat="1" x14ac:dyDescent="0.3">
      <c r="A71" s="189" t="s">
        <v>79</v>
      </c>
      <c r="B71" s="81"/>
      <c r="C71" s="81"/>
      <c r="D71" s="81"/>
      <c r="E71" s="76"/>
      <c r="F71" s="76"/>
      <c r="G71" s="77"/>
      <c r="H71" s="76">
        <v>42000</v>
      </c>
      <c r="I71" s="76"/>
      <c r="J71" s="293">
        <v>31024.92</v>
      </c>
      <c r="K71" s="245">
        <v>42000</v>
      </c>
      <c r="L71" s="72"/>
      <c r="M71" s="72"/>
      <c r="N71" s="225">
        <f>Table1[[#This Row],[$  OF REDUCTION]]/Table1[[#This Row],[PROPOSED FY 2021]]</f>
        <v>0</v>
      </c>
      <c r="O71" s="72"/>
      <c r="V71" s="123"/>
      <c r="W71" s="123"/>
      <c r="X71" s="123"/>
      <c r="Y71" s="123"/>
      <c r="Z71" s="123"/>
    </row>
    <row r="72" spans="1:27" s="243" customFormat="1" x14ac:dyDescent="0.3">
      <c r="A72" s="294" t="s">
        <v>47</v>
      </c>
      <c r="B72" s="187">
        <f>SUM(B73:B75)</f>
        <v>422398</v>
      </c>
      <c r="C72" s="187">
        <f>SUM(C73:C75)</f>
        <v>423000</v>
      </c>
      <c r="D72" s="187">
        <f>SUM(D73:D75)</f>
        <v>480000</v>
      </c>
      <c r="E72" s="187">
        <f>SUM(E73:E76)</f>
        <v>423000</v>
      </c>
      <c r="F72" s="187"/>
      <c r="G72" s="188">
        <f>SUM(G73:G75)</f>
        <v>447642.66</v>
      </c>
      <c r="H72" s="187">
        <f>SUM(H73:H76)</f>
        <v>418000</v>
      </c>
      <c r="I72" s="187"/>
      <c r="J72" s="295">
        <v>294134.61</v>
      </c>
      <c r="K72" s="241">
        <v>560732</v>
      </c>
      <c r="L72" s="241">
        <f>Table1[[#This Row],[PROPOSED FY 2021]]</f>
        <v>560732</v>
      </c>
      <c r="M72" s="241">
        <f>Table1[[#This Row],[PROPOSED FY 2021]]-Table1[[#This Row],[PROPOSED FY 2021 WITH 14 % REDUCTION]]</f>
        <v>0</v>
      </c>
      <c r="N72" s="242">
        <f>Table1[[#This Row],[$  OF REDUCTION]]/Table1[[#This Row],[PROPOSED FY 2021]]</f>
        <v>0</v>
      </c>
      <c r="O72" s="241">
        <v>560732</v>
      </c>
      <c r="V72" s="244"/>
      <c r="W72" s="244"/>
      <c r="X72" s="244"/>
      <c r="Y72" s="244"/>
      <c r="Z72" s="244"/>
    </row>
    <row r="73" spans="1:27" s="61" customFormat="1" hidden="1" x14ac:dyDescent="0.3">
      <c r="A73" s="74" t="s">
        <v>48</v>
      </c>
      <c r="B73" s="66">
        <v>416998</v>
      </c>
      <c r="C73" s="66">
        <v>420000</v>
      </c>
      <c r="D73" s="66">
        <v>475000</v>
      </c>
      <c r="E73" s="66">
        <v>400000</v>
      </c>
      <c r="F73" s="66"/>
      <c r="G73" s="67">
        <v>406895.91</v>
      </c>
      <c r="H73" s="66">
        <v>375000</v>
      </c>
      <c r="I73" s="68"/>
      <c r="J73" s="292"/>
      <c r="K73" s="265"/>
      <c r="L73" s="69"/>
      <c r="M73" s="69"/>
      <c r="N73" s="179" t="e">
        <f>Table1[[#This Row],[$  OF REDUCTION]]/Table1[[#This Row],[PROPOSED FY 2021]]</f>
        <v>#DIV/0!</v>
      </c>
      <c r="O73" s="69"/>
      <c r="V73" s="126"/>
      <c r="W73" s="126"/>
      <c r="X73" s="126"/>
      <c r="Y73" s="126"/>
      <c r="Z73" s="126"/>
    </row>
    <row r="74" spans="1:27" s="61" customFormat="1" hidden="1" x14ac:dyDescent="0.3">
      <c r="A74" s="75" t="s">
        <v>49</v>
      </c>
      <c r="B74" s="76">
        <v>5400</v>
      </c>
      <c r="C74" s="76">
        <v>3000</v>
      </c>
      <c r="D74" s="76">
        <v>5000</v>
      </c>
      <c r="E74" s="76">
        <v>3000</v>
      </c>
      <c r="F74" s="76"/>
      <c r="G74" s="77">
        <v>1671.56</v>
      </c>
      <c r="H74" s="76">
        <v>3000</v>
      </c>
      <c r="I74" s="78"/>
      <c r="J74" s="293"/>
      <c r="K74" s="266">
        <v>0</v>
      </c>
      <c r="L74" s="78"/>
      <c r="M74" s="78"/>
      <c r="N74" s="179" t="e">
        <f>Table1[[#This Row],[$  OF REDUCTION]]/Table1[[#This Row],[PROPOSED FY 2021]]</f>
        <v>#DIV/0!</v>
      </c>
      <c r="O74" s="78"/>
      <c r="V74" s="126"/>
      <c r="W74" s="126"/>
      <c r="X74" s="126"/>
      <c r="Y74" s="126"/>
      <c r="Z74" s="126"/>
    </row>
    <row r="75" spans="1:27" s="61" customFormat="1" hidden="1" x14ac:dyDescent="0.3">
      <c r="A75" s="79" t="s">
        <v>50</v>
      </c>
      <c r="B75" s="76"/>
      <c r="C75" s="76">
        <v>0</v>
      </c>
      <c r="D75" s="76">
        <v>0</v>
      </c>
      <c r="E75" s="76">
        <v>20000</v>
      </c>
      <c r="F75" s="76"/>
      <c r="G75" s="77">
        <v>39075.19</v>
      </c>
      <c r="H75" s="76">
        <v>40000</v>
      </c>
      <c r="I75" s="78"/>
      <c r="J75" s="293"/>
      <c r="K75" s="267"/>
      <c r="L75" s="80"/>
      <c r="M75" s="80"/>
      <c r="N75" s="179" t="e">
        <f>Table1[[#This Row],[$  OF REDUCTION]]/Table1[[#This Row],[PROPOSED FY 2021]]</f>
        <v>#DIV/0!</v>
      </c>
      <c r="O75" s="80"/>
      <c r="V75" s="126"/>
      <c r="W75" s="126"/>
      <c r="X75" s="126"/>
      <c r="Y75" s="126"/>
      <c r="Z75" s="126"/>
    </row>
    <row r="76" spans="1:27" s="61" customFormat="1" x14ac:dyDescent="0.3">
      <c r="A76" s="189" t="s">
        <v>61</v>
      </c>
      <c r="B76" s="81"/>
      <c r="C76" s="81"/>
      <c r="D76" s="81"/>
      <c r="E76" s="76"/>
      <c r="F76" s="76"/>
      <c r="G76" s="77"/>
      <c r="H76" s="76"/>
      <c r="I76" s="78"/>
      <c r="J76" s="293">
        <v>1207</v>
      </c>
      <c r="K76" s="266">
        <v>550000</v>
      </c>
      <c r="L76" s="78">
        <v>49770</v>
      </c>
      <c r="M76" s="78">
        <f>Table1[[#This Row],[PROPOSED FY 2021 WITH 14 % REDUCTION]]-Table1[[#This Row],[PROPOSED FY 2021]]</f>
        <v>-500230</v>
      </c>
      <c r="N76" s="179">
        <f>Table1[[#This Row],[$  OF REDUCTION]]/Table1[[#This Row],[PROPOSED FY 2021]]</f>
        <v>-0.90950909090909093</v>
      </c>
      <c r="O76" s="78">
        <v>49770</v>
      </c>
      <c r="V76" s="126"/>
      <c r="W76" s="126"/>
      <c r="X76" s="126"/>
      <c r="Y76" s="126"/>
      <c r="Z76" s="126"/>
    </row>
    <row r="77" spans="1:27" s="23" customFormat="1" ht="25" thickBot="1" x14ac:dyDescent="0.35">
      <c r="A77" s="190" t="s">
        <v>51</v>
      </c>
      <c r="B77" s="70">
        <v>2145514</v>
      </c>
      <c r="C77" s="70">
        <v>2165326</v>
      </c>
      <c r="D77" s="70">
        <v>2114426</v>
      </c>
      <c r="E77" s="70">
        <v>2183619</v>
      </c>
      <c r="F77" s="70">
        <v>991544</v>
      </c>
      <c r="G77" s="71">
        <v>3753162</v>
      </c>
      <c r="H77" s="70">
        <v>1985247</v>
      </c>
      <c r="I77" s="72">
        <v>1123977</v>
      </c>
      <c r="J77" s="296">
        <v>2098501.2599999998</v>
      </c>
      <c r="K77" s="245">
        <f>2435653-SUM(K70:K76)</f>
        <v>1123921</v>
      </c>
      <c r="L77" s="72">
        <f>1292809.06+164687</f>
        <v>1457496.06</v>
      </c>
      <c r="M77" s="72">
        <f>Table1[[#This Row],[PROPOSED FY 2021]]-Table1[[#This Row],[PROPOSED FY 2021 WITH 14 % REDUCTION]]</f>
        <v>-333575.06000000006</v>
      </c>
      <c r="N77" s="179">
        <f>Table1[[#This Row],[$  OF REDUCTION]]/Table1[[#This Row],[PROPOSED FY 2021]]</f>
        <v>-0.29679582461756659</v>
      </c>
      <c r="O77" s="72">
        <v>1544537</v>
      </c>
      <c r="V77" s="123"/>
      <c r="W77" s="123"/>
      <c r="X77" s="123"/>
      <c r="Y77" s="123"/>
      <c r="Z77" s="123"/>
    </row>
    <row r="78" spans="1:27" s="61" customFormat="1" ht="25" thickBot="1" x14ac:dyDescent="0.35">
      <c r="A78" s="158" t="s">
        <v>52</v>
      </c>
      <c r="B78" s="73">
        <f t="shared" ref="B78:H78" si="0">SUM(B70:B77)-B72</f>
        <v>2716262</v>
      </c>
      <c r="C78" s="73">
        <f t="shared" si="0"/>
        <v>2740426</v>
      </c>
      <c r="D78" s="73">
        <f t="shared" si="0"/>
        <v>2759426</v>
      </c>
      <c r="E78" s="73">
        <f t="shared" si="0"/>
        <v>2761619</v>
      </c>
      <c r="F78" s="73">
        <f t="shared" si="0"/>
        <v>991544</v>
      </c>
      <c r="G78" s="73">
        <f t="shared" si="0"/>
        <v>4322783.0599999996</v>
      </c>
      <c r="H78" s="73">
        <f t="shared" si="0"/>
        <v>2558247</v>
      </c>
      <c r="I78" s="73">
        <f>SUM(I70:I77)</f>
        <v>1123977</v>
      </c>
      <c r="J78" s="297">
        <f>J71+J72+J76+J77</f>
        <v>2424867.7899999996</v>
      </c>
      <c r="K78" s="268">
        <f>SUM(K70:K77)</f>
        <v>2435653</v>
      </c>
      <c r="L78" s="192">
        <f>SUM(L70:L77)</f>
        <v>2226998.06</v>
      </c>
      <c r="M78" s="73">
        <f>Table1[[#This Row],[PROPOSED FY 2021 WITH 14 % REDUCTION]]-Table1[[#This Row],[PROPOSED FY 2021]]</f>
        <v>-208654.93999999994</v>
      </c>
      <c r="N78" s="193">
        <f>Table1[[#This Row],[$  OF REDUCTION]]/Table1[[#This Row],[PROPOSED FY 2021]]</f>
        <v>-8.5666940241487577E-2</v>
      </c>
      <c r="O78" s="192">
        <f>SUM(O70:O77)</f>
        <v>2314039</v>
      </c>
      <c r="V78" s="126"/>
      <c r="W78" s="126"/>
      <c r="X78" s="126"/>
      <c r="Y78" s="126"/>
      <c r="Z78" s="126"/>
    </row>
    <row r="79" spans="1:27" s="61" customFormat="1" x14ac:dyDescent="0.3">
      <c r="A79" s="156"/>
      <c r="B79" s="157"/>
      <c r="C79" s="157"/>
      <c r="D79" s="157"/>
      <c r="E79" s="136"/>
      <c r="F79" s="136"/>
      <c r="G79" s="137"/>
      <c r="H79" s="136"/>
      <c r="I79" s="136"/>
      <c r="J79" s="281"/>
      <c r="K79" s="157"/>
      <c r="L79" s="157"/>
      <c r="M79" s="157"/>
      <c r="N79" s="180"/>
      <c r="O79" s="231"/>
      <c r="V79" s="126"/>
      <c r="W79" s="126"/>
      <c r="X79" s="126"/>
      <c r="Y79" s="126"/>
      <c r="Z79" s="126"/>
    </row>
    <row r="80" spans="1:27" s="84" customFormat="1" ht="27" thickBot="1" x14ac:dyDescent="0.35">
      <c r="A80" s="82"/>
      <c r="B80" s="83"/>
      <c r="C80" s="83"/>
      <c r="D80" s="83"/>
      <c r="E80" s="32"/>
      <c r="F80" s="32"/>
      <c r="G80" s="33"/>
      <c r="H80" s="32"/>
      <c r="I80" s="32"/>
      <c r="J80" s="288"/>
      <c r="K80" s="83"/>
      <c r="L80" s="83"/>
      <c r="M80" s="83"/>
      <c r="N80" s="181"/>
      <c r="O80" s="231"/>
      <c r="V80" s="127"/>
      <c r="W80" s="127"/>
      <c r="X80" s="127"/>
      <c r="Y80" s="127"/>
      <c r="Z80" s="127"/>
    </row>
    <row r="81" spans="1:27" ht="27" thickBot="1" x14ac:dyDescent="0.35">
      <c r="A81" s="130" t="s">
        <v>72</v>
      </c>
      <c r="B81" s="131"/>
      <c r="C81" s="131"/>
      <c r="D81" s="131"/>
      <c r="E81" s="131"/>
      <c r="F81" s="131"/>
      <c r="G81" s="132"/>
      <c r="H81" s="131"/>
      <c r="I81" s="133"/>
      <c r="J81" s="134"/>
      <c r="K81" s="164"/>
      <c r="L81" s="164"/>
      <c r="M81" s="164"/>
      <c r="N81" s="182"/>
      <c r="O81" s="131"/>
      <c r="V81" s="122"/>
      <c r="AA81" s="11"/>
    </row>
    <row r="82" spans="1:27" x14ac:dyDescent="0.3">
      <c r="A82" s="85" t="s">
        <v>40</v>
      </c>
      <c r="B82" s="86"/>
      <c r="C82" s="86"/>
      <c r="D82" s="86">
        <v>131500</v>
      </c>
      <c r="E82" s="86">
        <v>157200</v>
      </c>
      <c r="F82" s="86"/>
      <c r="G82" s="87">
        <v>151702</v>
      </c>
      <c r="H82" s="86">
        <v>103250</v>
      </c>
      <c r="I82" s="88"/>
      <c r="J82" s="298"/>
      <c r="K82" s="269">
        <v>0</v>
      </c>
      <c r="L82" s="88"/>
      <c r="M82" s="88"/>
      <c r="N82" s="183"/>
      <c r="O82" s="88"/>
      <c r="V82" s="122"/>
      <c r="AA82" s="11"/>
    </row>
    <row r="83" spans="1:27" x14ac:dyDescent="0.3">
      <c r="A83" s="89" t="s">
        <v>41</v>
      </c>
      <c r="B83" s="90">
        <v>100000</v>
      </c>
      <c r="C83" s="90"/>
      <c r="D83" s="90"/>
      <c r="E83" s="90">
        <v>50000</v>
      </c>
      <c r="F83" s="90"/>
      <c r="G83" s="91">
        <v>50000</v>
      </c>
      <c r="H83" s="90">
        <v>50000</v>
      </c>
      <c r="I83" s="92"/>
      <c r="J83" s="299">
        <v>38835</v>
      </c>
      <c r="K83" s="270">
        <v>50000</v>
      </c>
      <c r="L83" s="92">
        <v>50000</v>
      </c>
      <c r="M83" s="92"/>
      <c r="N83" s="183">
        <f>Table1[[#This Row],[$  OF REDUCTION]]/Table1[[#This Row],[PROPOSED FY 2021]]</f>
        <v>0</v>
      </c>
      <c r="O83" s="92">
        <v>50000</v>
      </c>
      <c r="V83" s="122"/>
      <c r="AA83" s="11"/>
    </row>
    <row r="84" spans="1:27" x14ac:dyDescent="0.3">
      <c r="A84" s="89" t="s">
        <v>65</v>
      </c>
      <c r="B84" s="90"/>
      <c r="C84" s="90"/>
      <c r="D84" s="90"/>
      <c r="E84" s="90"/>
      <c r="F84" s="90"/>
      <c r="G84" s="91"/>
      <c r="H84" s="90"/>
      <c r="I84" s="92">
        <v>10000</v>
      </c>
      <c r="J84" s="299"/>
      <c r="K84" s="270">
        <v>22000</v>
      </c>
      <c r="L84" s="92">
        <v>22000</v>
      </c>
      <c r="M84" s="92"/>
      <c r="N84" s="183">
        <f>Table1[[#This Row],[$  OF REDUCTION]]/Table1[[#This Row],[PROPOSED FY 2021]]</f>
        <v>0</v>
      </c>
      <c r="O84" s="92">
        <v>22000</v>
      </c>
      <c r="V84" s="122"/>
      <c r="AA84" s="11"/>
    </row>
    <row r="85" spans="1:27" x14ac:dyDescent="0.3">
      <c r="A85" s="89" t="s">
        <v>109</v>
      </c>
      <c r="B85" s="90">
        <v>5382525</v>
      </c>
      <c r="C85" s="90">
        <v>5480851</v>
      </c>
      <c r="D85" s="90">
        <v>5518852</v>
      </c>
      <c r="E85" s="90">
        <v>5419638</v>
      </c>
      <c r="F85" s="90"/>
      <c r="G85" s="91">
        <v>5419638</v>
      </c>
      <c r="H85" s="90">
        <v>10079736</v>
      </c>
      <c r="I85" s="92">
        <v>4289437</v>
      </c>
      <c r="J85" s="299">
        <v>5069893.5</v>
      </c>
      <c r="K85" s="270">
        <v>4855305</v>
      </c>
      <c r="L85" s="92">
        <v>8774365</v>
      </c>
      <c r="M85" s="92"/>
      <c r="N85" s="183">
        <f>Table1[[#This Row],[$  OF REDUCTION]]/Table1[[#This Row],[PROPOSED FY 2021]]</f>
        <v>0</v>
      </c>
      <c r="O85" s="92">
        <v>9184156</v>
      </c>
      <c r="V85" s="122"/>
      <c r="AA85" s="11"/>
    </row>
    <row r="86" spans="1:27" s="23" customFormat="1" x14ac:dyDescent="0.3">
      <c r="A86" s="93" t="s">
        <v>42</v>
      </c>
      <c r="B86" s="94">
        <v>1000000</v>
      </c>
      <c r="C86" s="94">
        <v>1000000</v>
      </c>
      <c r="D86" s="94">
        <v>1000000</v>
      </c>
      <c r="E86" s="94">
        <v>1000000</v>
      </c>
      <c r="F86" s="94"/>
      <c r="G86" s="95">
        <v>1000000</v>
      </c>
      <c r="H86" s="94">
        <v>1000000</v>
      </c>
      <c r="I86" s="96"/>
      <c r="J86" s="300">
        <v>1000000</v>
      </c>
      <c r="K86" s="271">
        <v>1007352</v>
      </c>
      <c r="L86" s="96"/>
      <c r="M86" s="96"/>
      <c r="N86" s="183">
        <f>Table1[[#This Row],[$  OF REDUCTION]]/Table1[[#This Row],[PROPOSED FY 2021]]</f>
        <v>0</v>
      </c>
      <c r="O86" s="233"/>
      <c r="V86" s="123"/>
      <c r="W86" s="123"/>
      <c r="X86" s="123"/>
      <c r="Y86" s="123"/>
      <c r="Z86" s="123"/>
    </row>
    <row r="87" spans="1:27" s="23" customFormat="1" x14ac:dyDescent="0.3">
      <c r="A87" s="89" t="s">
        <v>104</v>
      </c>
      <c r="B87" s="90"/>
      <c r="C87" s="90"/>
      <c r="D87" s="90"/>
      <c r="E87" s="90"/>
      <c r="F87" s="240"/>
      <c r="G87" s="91"/>
      <c r="H87" s="90"/>
      <c r="I87" s="90">
        <v>195877</v>
      </c>
      <c r="J87" s="299"/>
      <c r="K87" s="272"/>
      <c r="L87" s="237">
        <f>Table1[[#This Row],[PROPOSED FY 2021]]*14%</f>
        <v>0</v>
      </c>
      <c r="M87" s="237"/>
      <c r="N87" s="226"/>
      <c r="O87" s="233"/>
      <c r="V87" s="123"/>
      <c r="W87" s="123"/>
      <c r="X87" s="123"/>
      <c r="Y87" s="123"/>
      <c r="Z87" s="123"/>
    </row>
    <row r="88" spans="1:27" s="23" customFormat="1" x14ac:dyDescent="0.3">
      <c r="A88" s="89" t="s">
        <v>105</v>
      </c>
      <c r="B88" s="90"/>
      <c r="C88" s="90"/>
      <c r="D88" s="90"/>
      <c r="E88" s="90"/>
      <c r="F88" s="240"/>
      <c r="G88" s="91"/>
      <c r="H88" s="90"/>
      <c r="I88" s="90">
        <v>48970</v>
      </c>
      <c r="J88" s="299"/>
      <c r="K88" s="272"/>
      <c r="L88" s="237">
        <f>Table1[[#This Row],[PROPOSED FY 2021]]*14%</f>
        <v>0</v>
      </c>
      <c r="M88" s="237"/>
      <c r="N88" s="226"/>
      <c r="O88" s="233"/>
      <c r="V88" s="123"/>
      <c r="W88" s="123"/>
      <c r="X88" s="123"/>
      <c r="Y88" s="123"/>
      <c r="Z88" s="123"/>
    </row>
    <row r="89" spans="1:27" s="23" customFormat="1" x14ac:dyDescent="0.3">
      <c r="A89" s="89" t="s">
        <v>107</v>
      </c>
      <c r="B89" s="90"/>
      <c r="C89" s="90"/>
      <c r="D89" s="90"/>
      <c r="E89" s="90"/>
      <c r="F89" s="240"/>
      <c r="G89" s="91"/>
      <c r="H89" s="90"/>
      <c r="I89" s="90">
        <v>300000</v>
      </c>
      <c r="J89" s="299"/>
      <c r="K89" s="272"/>
      <c r="L89" s="237">
        <f>Table1[[#This Row],[PROPOSED FY 2021]]*14%</f>
        <v>0</v>
      </c>
      <c r="M89" s="237"/>
      <c r="N89" s="226"/>
      <c r="O89" s="233"/>
      <c r="V89" s="123"/>
      <c r="W89" s="123"/>
      <c r="X89" s="123"/>
      <c r="Y89" s="123"/>
      <c r="Z89" s="123"/>
    </row>
    <row r="90" spans="1:27" s="23" customFormat="1" x14ac:dyDescent="0.3">
      <c r="A90" s="89" t="s">
        <v>106</v>
      </c>
      <c r="B90" s="90"/>
      <c r="C90" s="90"/>
      <c r="D90" s="90"/>
      <c r="E90" s="90"/>
      <c r="F90" s="240"/>
      <c r="G90" s="91"/>
      <c r="H90" s="90"/>
      <c r="I90" s="90">
        <v>407685</v>
      </c>
      <c r="J90" s="299"/>
      <c r="K90" s="272"/>
      <c r="L90" s="237">
        <f>Table1[[#This Row],[PROPOSED FY 2021]]*14%</f>
        <v>0</v>
      </c>
      <c r="M90" s="237"/>
      <c r="N90" s="226"/>
      <c r="O90" s="233"/>
      <c r="V90" s="123"/>
      <c r="W90" s="123"/>
      <c r="X90" s="123"/>
      <c r="Y90" s="123"/>
      <c r="Z90" s="123"/>
    </row>
    <row r="91" spans="1:27" s="23" customFormat="1" x14ac:dyDescent="0.3">
      <c r="A91" s="89" t="s">
        <v>82</v>
      </c>
      <c r="B91" s="90"/>
      <c r="C91" s="90"/>
      <c r="D91" s="90"/>
      <c r="E91" s="90"/>
      <c r="F91" s="240"/>
      <c r="G91" s="91"/>
      <c r="H91" s="90"/>
      <c r="I91" s="90">
        <f>55153</f>
        <v>55153</v>
      </c>
      <c r="J91" s="299"/>
      <c r="K91" s="272"/>
      <c r="L91" s="237">
        <f>Table1[[#This Row],[PROPOSED FY 2021]]*14%</f>
        <v>0</v>
      </c>
      <c r="M91" s="237"/>
      <c r="N91" s="226"/>
      <c r="O91" s="233"/>
      <c r="V91" s="123"/>
      <c r="W91" s="123"/>
      <c r="X91" s="123"/>
      <c r="Y91" s="123"/>
      <c r="Z91" s="123"/>
    </row>
    <row r="92" spans="1:27" s="23" customFormat="1" x14ac:dyDescent="0.3">
      <c r="A92" s="89" t="s">
        <v>108</v>
      </c>
      <c r="B92" s="90"/>
      <c r="C92" s="90"/>
      <c r="D92" s="90"/>
      <c r="E92" s="90"/>
      <c r="F92" s="240"/>
      <c r="G92" s="91"/>
      <c r="H92" s="90"/>
      <c r="I92" s="90">
        <v>7862</v>
      </c>
      <c r="J92" s="299"/>
      <c r="K92" s="272"/>
      <c r="L92" s="237">
        <f>Table1[[#This Row],[PROPOSED FY 2021]]*14%</f>
        <v>0</v>
      </c>
      <c r="M92" s="237"/>
      <c r="N92" s="226"/>
      <c r="O92" s="233"/>
      <c r="V92" s="123"/>
      <c r="W92" s="123"/>
      <c r="X92" s="123"/>
      <c r="Y92" s="123"/>
      <c r="Z92" s="123"/>
    </row>
    <row r="93" spans="1:27" s="23" customFormat="1" x14ac:dyDescent="0.3">
      <c r="A93" s="89"/>
      <c r="B93" s="90"/>
      <c r="C93" s="90"/>
      <c r="D93" s="90"/>
      <c r="E93" s="90"/>
      <c r="F93" s="240"/>
      <c r="G93" s="91"/>
      <c r="H93" s="90"/>
      <c r="I93" s="90"/>
      <c r="J93" s="299"/>
      <c r="K93" s="272"/>
      <c r="L93" s="237">
        <f>Table1[[#This Row],[PROPOSED FY 2021]]*14%</f>
        <v>0</v>
      </c>
      <c r="M93" s="237"/>
      <c r="N93" s="226"/>
      <c r="O93" s="233"/>
      <c r="V93" s="123"/>
      <c r="W93" s="123"/>
      <c r="X93" s="123"/>
      <c r="Y93" s="123"/>
      <c r="Z93" s="123"/>
    </row>
    <row r="94" spans="1:27" s="23" customFormat="1" ht="25" thickBot="1" x14ac:dyDescent="0.35">
      <c r="A94" s="89"/>
      <c r="B94" s="90"/>
      <c r="C94" s="90"/>
      <c r="D94" s="90"/>
      <c r="E94" s="90"/>
      <c r="F94" s="240"/>
      <c r="G94" s="91"/>
      <c r="H94" s="90"/>
      <c r="I94" s="90"/>
      <c r="J94" s="299"/>
      <c r="K94" s="272"/>
      <c r="L94" s="237">
        <f>Table1[[#This Row],[PROPOSED FY 2021]]*14%</f>
        <v>0</v>
      </c>
      <c r="M94" s="237"/>
      <c r="N94" s="226"/>
      <c r="O94" s="233"/>
      <c r="V94" s="123"/>
      <c r="W94" s="123"/>
      <c r="X94" s="123"/>
      <c r="Y94" s="123"/>
      <c r="Z94" s="123"/>
    </row>
    <row r="95" spans="1:27" ht="25" thickBot="1" x14ac:dyDescent="0.35">
      <c r="A95" s="238" t="s">
        <v>43</v>
      </c>
      <c r="B95" s="239">
        <f>SUM(B83:B86)</f>
        <v>6482525</v>
      </c>
      <c r="C95" s="239">
        <f>SUM(C85:C86)</f>
        <v>6480851</v>
      </c>
      <c r="D95" s="239">
        <f>SUM(D82:D86)</f>
        <v>6650352</v>
      </c>
      <c r="E95" s="239">
        <f>SUM(E82:E86)</f>
        <v>6626838</v>
      </c>
      <c r="F95" s="239">
        <f>SUM(F82:F86)</f>
        <v>0</v>
      </c>
      <c r="G95" s="239">
        <f>SUM(G82:G86)</f>
        <v>6621340</v>
      </c>
      <c r="H95" s="239">
        <f>SUM(H82:H86)</f>
        <v>11232986</v>
      </c>
      <c r="I95" s="239">
        <f>SUM(I82:I94)</f>
        <v>5314984</v>
      </c>
      <c r="J95" s="301">
        <f>SUM(J82:J86)</f>
        <v>6108728.5</v>
      </c>
      <c r="K95" s="273">
        <f>SUM(K82:K86)</f>
        <v>5934657</v>
      </c>
      <c r="L95" s="195">
        <f>SUM(L82:L86)</f>
        <v>8846365</v>
      </c>
      <c r="M95" s="195">
        <f>Table1[[#This Row],[PROPOSED FY 2021 WITH 14 % REDUCTION]]-Table1[[#This Row],[PROPOSED FY 2021]]</f>
        <v>2911708</v>
      </c>
      <c r="N95" s="196">
        <f>Table1[[#This Row],[$  OF REDUCTION]]/Table1[[#This Row],[PROPOSED FY 2021]]</f>
        <v>0.49062784925902203</v>
      </c>
      <c r="O95" s="195">
        <f>SUM(O82:O85)</f>
        <v>9256156</v>
      </c>
      <c r="V95" s="122"/>
      <c r="AA95" s="11"/>
    </row>
    <row r="96" spans="1:27" s="23" customFormat="1" ht="25" thickBot="1" x14ac:dyDescent="0.35">
      <c r="A96" s="200"/>
      <c r="B96" s="201"/>
      <c r="C96" s="201"/>
      <c r="D96" s="201"/>
      <c r="E96" s="201"/>
      <c r="F96" s="201"/>
      <c r="G96" s="202"/>
      <c r="H96" s="201"/>
      <c r="I96" s="201"/>
      <c r="J96" s="302"/>
      <c r="K96" s="201"/>
      <c r="L96" s="201">
        <v>1007352</v>
      </c>
      <c r="M96" s="201"/>
      <c r="N96" s="203"/>
      <c r="O96" s="94">
        <v>1007352</v>
      </c>
      <c r="V96" s="123"/>
      <c r="W96" s="123"/>
      <c r="X96" s="123"/>
      <c r="Y96" s="123"/>
      <c r="Z96" s="123"/>
    </row>
    <row r="97" spans="1:27" ht="25" thickBot="1" x14ac:dyDescent="0.35">
      <c r="A97" s="197" t="s">
        <v>44</v>
      </c>
      <c r="B97" s="198">
        <f>B95+B78+B66+B61+B33+B64</f>
        <v>10879969</v>
      </c>
      <c r="C97" s="198">
        <f>C95+C78+C66+C61+C33</f>
        <v>10667693</v>
      </c>
      <c r="D97" s="198">
        <f>D95+D78+D66+D61+D33</f>
        <v>10902900</v>
      </c>
      <c r="E97" s="198">
        <f>E95+E66+E64+E33+E78+E61</f>
        <v>11174441</v>
      </c>
      <c r="F97" s="198" t="e">
        <f>F95+F66+F64+#REF!+F33+F78+F61</f>
        <v>#REF!</v>
      </c>
      <c r="G97" s="198" t="e">
        <f>G95+G6+G64+#REF!+G672+G33+G78+G61</f>
        <v>#REF!</v>
      </c>
      <c r="H97" s="198">
        <f>H95+H66+H64+H33+H78+H61</f>
        <v>16035246</v>
      </c>
      <c r="I97" s="198">
        <f>I95+I66+I64+I33+I78+I61</f>
        <v>6474891.6699999999</v>
      </c>
      <c r="J97" s="303">
        <f>J95+J66+J64+J33+J78+J61</f>
        <v>10063364.620000001</v>
      </c>
      <c r="K97" s="198">
        <f>K95+K66+K64+K33+K78+K61</f>
        <v>10930915</v>
      </c>
      <c r="L97" s="198">
        <f>L95+L66+L64+L33+L78+L96+L61</f>
        <v>14406116.550000001</v>
      </c>
      <c r="M97" s="198">
        <f>M95+M78+M66+M64+M61</f>
        <v>2452849.5499999998</v>
      </c>
      <c r="N97" s="199">
        <f>Table1[[#This Row],[$  OF REDUCTION]]/Table1[[#This Row],[PROPOSED FY 2021]]</f>
        <v>0.22439562927714649</v>
      </c>
      <c r="O97" s="232">
        <f>O95+O66+O64+O33+O78+O61+O96</f>
        <v>14908655</v>
      </c>
      <c r="V97" s="122"/>
      <c r="AA97" s="11"/>
    </row>
    <row r="98" spans="1:27" x14ac:dyDescent="0.3">
      <c r="A98" s="307"/>
      <c r="B98" s="308"/>
      <c r="C98" s="308"/>
      <c r="D98" s="308"/>
      <c r="E98" s="308"/>
      <c r="F98" s="310"/>
      <c r="G98" s="311"/>
      <c r="H98" s="308"/>
      <c r="I98" s="308"/>
      <c r="J98" s="308"/>
      <c r="K98" s="308"/>
      <c r="L98" s="308">
        <f>Table1[[#This Row],[PROPOSED FY 2021]]*14%</f>
        <v>0</v>
      </c>
      <c r="M98" s="308"/>
      <c r="N98" s="309"/>
      <c r="O98" s="308"/>
      <c r="V98" s="122"/>
      <c r="AA98" s="11"/>
    </row>
    <row r="99" spans="1:27" x14ac:dyDescent="0.3">
      <c r="A99" s="97"/>
      <c r="C99" s="98"/>
      <c r="D99" s="98"/>
      <c r="E99" s="98"/>
      <c r="F99" s="99"/>
      <c r="G99" s="100"/>
      <c r="H99" s="98"/>
      <c r="I99" s="306"/>
      <c r="J99" s="98"/>
      <c r="L99" s="129"/>
      <c r="M99" s="129"/>
      <c r="N99" s="184"/>
      <c r="O99" s="129">
        <f>L97-O97</f>
        <v>-502538.44999999925</v>
      </c>
      <c r="P99" s="128"/>
      <c r="V99" s="122"/>
      <c r="AA99" s="11"/>
    </row>
    <row r="100" spans="1:27" x14ac:dyDescent="0.3">
      <c r="A100" s="128"/>
      <c r="C100" s="98"/>
      <c r="D100" s="98"/>
      <c r="E100" s="98"/>
      <c r="F100" s="99"/>
      <c r="G100" s="100"/>
      <c r="H100" s="98"/>
      <c r="I100" s="306">
        <v>23510207</v>
      </c>
      <c r="J100" s="98"/>
      <c r="L100" s="129"/>
      <c r="M100" s="129"/>
      <c r="N100" s="184"/>
      <c r="O100" s="129"/>
      <c r="V100" s="122"/>
      <c r="AA100" s="11"/>
    </row>
    <row r="101" spans="1:27" x14ac:dyDescent="0.3">
      <c r="E101" s="98" t="e">
        <f>E97+F97-G97</f>
        <v>#REF!</v>
      </c>
      <c r="F101" s="99"/>
      <c r="H101" s="61"/>
      <c r="I101" s="305">
        <f>H97+I97</f>
        <v>22510137.670000002</v>
      </c>
      <c r="K101" s="11"/>
      <c r="L101" s="223"/>
      <c r="M101" s="129"/>
    </row>
    <row r="102" spans="1:27" x14ac:dyDescent="0.3">
      <c r="E102" s="98"/>
      <c r="F102" s="99"/>
      <c r="I102" s="304">
        <f>I100-I101</f>
        <v>1000069.3299999982</v>
      </c>
      <c r="K102" s="11"/>
      <c r="L102" s="98"/>
      <c r="M102" s="129"/>
    </row>
    <row r="103" spans="1:27" ht="25" thickBot="1" x14ac:dyDescent="0.35">
      <c r="F103" s="99"/>
      <c r="H103" s="129"/>
      <c r="I103" s="129"/>
      <c r="K103" s="191"/>
    </row>
    <row r="104" spans="1:27" ht="25" thickBot="1" x14ac:dyDescent="0.35">
      <c r="H104" s="221" t="s">
        <v>88</v>
      </c>
      <c r="I104" s="222"/>
      <c r="J104" s="246"/>
      <c r="K104" s="246"/>
    </row>
    <row r="105" spans="1:27" x14ac:dyDescent="0.3">
      <c r="H105" s="97" t="s">
        <v>89</v>
      </c>
      <c r="I105" s="212">
        <v>39207.339999999997</v>
      </c>
      <c r="K105" s="11"/>
      <c r="L105" s="185"/>
      <c r="M105" s="185"/>
      <c r="N105" s="11"/>
      <c r="O105" s="11"/>
      <c r="U105" s="122"/>
      <c r="V105" s="122"/>
      <c r="Z105" s="11"/>
      <c r="AA105" s="11"/>
    </row>
    <row r="106" spans="1:27" x14ac:dyDescent="0.3">
      <c r="H106" s="97" t="s">
        <v>90</v>
      </c>
      <c r="I106" s="212">
        <v>54348.29</v>
      </c>
      <c r="K106" s="11"/>
      <c r="L106" s="185"/>
      <c r="M106" s="185"/>
      <c r="N106" s="11"/>
      <c r="O106" s="11"/>
      <c r="U106" s="122"/>
      <c r="V106" s="122"/>
      <c r="Z106" s="11"/>
      <c r="AA106" s="11"/>
    </row>
    <row r="107" spans="1:27" ht="25" thickBot="1" x14ac:dyDescent="0.35">
      <c r="H107" s="97" t="s">
        <v>92</v>
      </c>
      <c r="I107" s="213">
        <v>252800</v>
      </c>
      <c r="K107" s="11"/>
      <c r="L107" s="185"/>
      <c r="M107" s="185"/>
      <c r="N107" s="11"/>
      <c r="O107" s="11"/>
      <c r="U107" s="122"/>
      <c r="V107" s="122"/>
      <c r="Z107" s="11"/>
      <c r="AA107" s="11"/>
    </row>
    <row r="108" spans="1:27" s="23" customFormat="1" ht="25" thickTop="1" x14ac:dyDescent="0.3">
      <c r="B108" s="204"/>
      <c r="F108" s="205"/>
      <c r="G108" s="206"/>
      <c r="H108" s="214" t="s">
        <v>91</v>
      </c>
      <c r="I108" s="215">
        <f>SUM(I105:I107)</f>
        <v>346355.63</v>
      </c>
      <c r="L108" s="207"/>
      <c r="M108" s="207"/>
      <c r="U108" s="123"/>
      <c r="V108" s="123"/>
      <c r="W108" s="123"/>
      <c r="X108" s="123"/>
      <c r="Y108" s="123"/>
    </row>
    <row r="109" spans="1:27" x14ac:dyDescent="0.3">
      <c r="H109" s="97"/>
      <c r="I109" s="212" t="s">
        <v>93</v>
      </c>
      <c r="K109" s="11"/>
      <c r="L109" s="185"/>
      <c r="M109" s="185"/>
      <c r="N109" s="11"/>
      <c r="O109" s="11"/>
      <c r="U109" s="122"/>
      <c r="V109" s="122"/>
      <c r="Z109" s="11"/>
      <c r="AA109" s="11"/>
    </row>
    <row r="110" spans="1:27" x14ac:dyDescent="0.3">
      <c r="H110" s="216" t="s">
        <v>98</v>
      </c>
      <c r="I110" s="212"/>
      <c r="K110" s="11"/>
      <c r="L110" s="185"/>
      <c r="M110" s="185"/>
      <c r="N110" s="11"/>
      <c r="O110" s="11"/>
      <c r="U110" s="122"/>
      <c r="V110" s="122"/>
      <c r="Z110" s="11"/>
      <c r="AA110" s="11"/>
    </row>
    <row r="111" spans="1:27" x14ac:dyDescent="0.3">
      <c r="H111" s="97" t="s">
        <v>99</v>
      </c>
      <c r="I111" s="217">
        <v>42000</v>
      </c>
      <c r="K111" s="11"/>
      <c r="L111" s="185"/>
      <c r="M111" s="185"/>
      <c r="N111" s="11"/>
      <c r="O111" s="11"/>
      <c r="U111" s="122"/>
      <c r="V111" s="122"/>
      <c r="Z111" s="11"/>
      <c r="AA111" s="11"/>
    </row>
    <row r="112" spans="1:27" x14ac:dyDescent="0.3">
      <c r="H112" s="97" t="s">
        <v>95</v>
      </c>
      <c r="I112" s="217">
        <v>20101.560000000001</v>
      </c>
      <c r="K112" s="11"/>
      <c r="L112" s="185"/>
      <c r="M112" s="185"/>
      <c r="N112" s="11"/>
      <c r="O112" s="11"/>
      <c r="U112" s="122"/>
      <c r="V112" s="122"/>
      <c r="Z112" s="11"/>
      <c r="AA112" s="11"/>
    </row>
    <row r="113" spans="8:27" x14ac:dyDescent="0.3">
      <c r="H113" s="97" t="s">
        <v>97</v>
      </c>
      <c r="I113" s="217">
        <v>5000</v>
      </c>
      <c r="K113" s="11"/>
      <c r="L113" s="185"/>
      <c r="M113" s="185"/>
      <c r="N113" s="11"/>
      <c r="O113" s="11"/>
      <c r="U113" s="122"/>
      <c r="V113" s="122"/>
      <c r="Z113" s="11"/>
      <c r="AA113" s="11"/>
    </row>
    <row r="114" spans="8:27" ht="25" thickBot="1" x14ac:dyDescent="0.35">
      <c r="H114" s="97" t="s">
        <v>96</v>
      </c>
      <c r="I114" s="218">
        <v>7879</v>
      </c>
      <c r="K114" s="11"/>
      <c r="L114" s="185"/>
      <c r="M114" s="185"/>
      <c r="N114" s="11"/>
      <c r="O114" s="11"/>
      <c r="U114" s="122"/>
      <c r="V114" s="122"/>
      <c r="Z114" s="11"/>
      <c r="AA114" s="11"/>
    </row>
    <row r="115" spans="8:27" ht="26" thickTop="1" thickBot="1" x14ac:dyDescent="0.35">
      <c r="H115" s="219" t="s">
        <v>94</v>
      </c>
      <c r="I115" s="220">
        <v>271375.07</v>
      </c>
      <c r="K115" s="11"/>
      <c r="L115" s="185"/>
      <c r="M115" s="185"/>
      <c r="N115" s="11"/>
      <c r="O115" s="11"/>
      <c r="U115" s="122"/>
      <c r="V115" s="122"/>
      <c r="Z115" s="11"/>
      <c r="AA115" s="11"/>
    </row>
  </sheetData>
  <phoneticPr fontId="2" type="noConversion"/>
  <pageMargins left="0.7" right="0.7" top="0.75" bottom="0.75" header="0.3" footer="0.3"/>
  <pageSetup orientation="landscape" horizontalDpi="0" verticalDpi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6DD4-542B-A34A-A80B-357FA4854A55}">
  <sheetPr>
    <tabColor rgb="FF00B050"/>
    <pageSetUpPr fitToPage="1"/>
  </sheetPr>
  <dimension ref="A1:J104"/>
  <sheetViews>
    <sheetView tabSelected="1" topLeftCell="A2" zoomScale="80" zoomScaleNormal="80" workbookViewId="0">
      <selection activeCell="J82" sqref="J82"/>
    </sheetView>
  </sheetViews>
  <sheetFormatPr baseColWidth="10" defaultRowHeight="43" customHeight="1" x14ac:dyDescent="0.2"/>
  <cols>
    <col min="1" max="1" width="71.1640625" customWidth="1"/>
    <col min="2" max="3" width="36.83203125" customWidth="1"/>
    <col min="4" max="4" width="39.33203125" bestFit="1" customWidth="1"/>
    <col min="5" max="6" width="39.33203125" hidden="1" customWidth="1"/>
    <col min="7" max="7" width="42.83203125" style="208" customWidth="1"/>
    <col min="8" max="8" width="246.83203125" hidden="1" customWidth="1"/>
    <col min="9" max="9" width="187" hidden="1" customWidth="1"/>
    <col min="10" max="10" width="52.6640625" customWidth="1"/>
  </cols>
  <sheetData>
    <row r="1" spans="1:10" ht="62" customHeight="1" thickBot="1" x14ac:dyDescent="0.25">
      <c r="A1" s="105" t="s">
        <v>5</v>
      </c>
      <c r="B1" s="106" t="s">
        <v>141</v>
      </c>
      <c r="C1" s="106" t="s">
        <v>192</v>
      </c>
      <c r="D1" s="106" t="s">
        <v>198</v>
      </c>
      <c r="E1" s="106" t="s">
        <v>149</v>
      </c>
      <c r="F1" s="106" t="s">
        <v>182</v>
      </c>
      <c r="G1" s="194" t="s">
        <v>142</v>
      </c>
      <c r="H1" s="106" t="s">
        <v>113</v>
      </c>
      <c r="I1" s="274" t="s">
        <v>150</v>
      </c>
    </row>
    <row r="2" spans="1:10" ht="43" customHeight="1" thickBot="1" x14ac:dyDescent="0.35">
      <c r="A2" s="2" t="s">
        <v>69</v>
      </c>
      <c r="B2" s="3"/>
      <c r="C2" s="347"/>
      <c r="D2" s="347"/>
      <c r="E2" s="347"/>
      <c r="F2" s="347"/>
      <c r="G2" s="401"/>
      <c r="H2" s="247"/>
      <c r="I2" s="236"/>
    </row>
    <row r="3" spans="1:10" ht="28" customHeight="1" x14ac:dyDescent="0.3">
      <c r="A3" s="7" t="s">
        <v>0</v>
      </c>
      <c r="B3" s="8">
        <v>487080</v>
      </c>
      <c r="C3" s="8">
        <v>24233.99</v>
      </c>
      <c r="D3" s="8">
        <v>394628.67</v>
      </c>
      <c r="E3" s="8"/>
      <c r="F3" s="8"/>
      <c r="G3" s="275">
        <f>B3+C3-D3-E3-F3</f>
        <v>116685.32</v>
      </c>
      <c r="H3" s="248" t="s">
        <v>146</v>
      </c>
      <c r="I3" s="275"/>
      <c r="J3" s="208"/>
    </row>
    <row r="4" spans="1:10" ht="28" customHeight="1" x14ac:dyDescent="0.3">
      <c r="A4" s="346" t="s">
        <v>112</v>
      </c>
      <c r="B4" s="8"/>
      <c r="C4" s="8"/>
      <c r="D4" s="8"/>
      <c r="E4" s="8"/>
      <c r="F4" s="8"/>
      <c r="G4" s="275">
        <f t="shared" ref="G4:G16" si="0">B4+C4-D4-E4-F4</f>
        <v>0</v>
      </c>
      <c r="H4" s="248"/>
      <c r="I4" s="275"/>
      <c r="J4" s="208"/>
    </row>
    <row r="5" spans="1:10" ht="28" customHeight="1" x14ac:dyDescent="0.3">
      <c r="A5" s="12" t="s">
        <v>1</v>
      </c>
      <c r="B5" s="13">
        <f>B3*61.884%</f>
        <v>301424.58720000001</v>
      </c>
      <c r="C5" s="13"/>
      <c r="D5" s="13">
        <v>255697.32</v>
      </c>
      <c r="E5" s="8"/>
      <c r="F5" s="8"/>
      <c r="G5" s="275">
        <f t="shared" si="0"/>
        <v>45727.267200000002</v>
      </c>
      <c r="H5" s="393" t="s">
        <v>147</v>
      </c>
      <c r="I5" s="276"/>
      <c r="J5" s="208"/>
    </row>
    <row r="6" spans="1:10" ht="28" customHeight="1" x14ac:dyDescent="0.3">
      <c r="A6" s="12" t="s">
        <v>4</v>
      </c>
      <c r="B6" s="13">
        <v>16229</v>
      </c>
      <c r="C6" s="13"/>
      <c r="D6" s="13"/>
      <c r="E6" s="8"/>
      <c r="F6" s="8"/>
      <c r="G6" s="275">
        <f t="shared" si="0"/>
        <v>16229</v>
      </c>
      <c r="H6" s="249" t="s">
        <v>118</v>
      </c>
      <c r="I6" s="276" t="s">
        <v>151</v>
      </c>
      <c r="J6" s="208"/>
    </row>
    <row r="7" spans="1:10" ht="28" customHeight="1" x14ac:dyDescent="0.3">
      <c r="A7" s="12" t="s">
        <v>119</v>
      </c>
      <c r="B7" s="13">
        <v>35000</v>
      </c>
      <c r="C7" s="13"/>
      <c r="D7" s="13">
        <f>9861.09+4186.67</f>
        <v>14047.76</v>
      </c>
      <c r="E7" s="8"/>
      <c r="F7" s="8"/>
      <c r="G7" s="275">
        <f t="shared" si="0"/>
        <v>20952.239999999998</v>
      </c>
      <c r="H7" s="249" t="s">
        <v>120</v>
      </c>
      <c r="I7" s="276" t="s">
        <v>181</v>
      </c>
      <c r="J7" s="208"/>
    </row>
    <row r="8" spans="1:10" ht="28" customHeight="1" x14ac:dyDescent="0.3">
      <c r="A8" s="12" t="s">
        <v>3</v>
      </c>
      <c r="B8" s="13">
        <v>7000</v>
      </c>
      <c r="C8" s="13"/>
      <c r="D8" s="13">
        <v>1581.21</v>
      </c>
      <c r="E8" s="8"/>
      <c r="F8" s="8"/>
      <c r="G8" s="275">
        <f t="shared" si="0"/>
        <v>5418.79</v>
      </c>
      <c r="H8" s="249"/>
      <c r="I8" s="276"/>
      <c r="J8" s="208"/>
    </row>
    <row r="9" spans="1:10" ht="28" customHeight="1" x14ac:dyDescent="0.3">
      <c r="A9" s="12" t="s">
        <v>10</v>
      </c>
      <c r="B9" s="13">
        <v>25800</v>
      </c>
      <c r="C9" s="13"/>
      <c r="D9" s="13">
        <f>7800+2156.29+2156.29+2156.29</f>
        <v>14268.870000000003</v>
      </c>
      <c r="E9" s="8"/>
      <c r="F9" s="8"/>
      <c r="G9" s="275">
        <f t="shared" si="0"/>
        <v>11531.129999999997</v>
      </c>
      <c r="H9" s="249" t="s">
        <v>121</v>
      </c>
      <c r="I9" s="276" t="s">
        <v>152</v>
      </c>
      <c r="J9" s="208"/>
    </row>
    <row r="10" spans="1:10" ht="28" customHeight="1" x14ac:dyDescent="0.3">
      <c r="A10" s="12" t="s">
        <v>22</v>
      </c>
      <c r="B10" s="13">
        <v>3000</v>
      </c>
      <c r="C10" s="13"/>
      <c r="D10" s="13">
        <v>4842.4399999999996</v>
      </c>
      <c r="E10" s="8"/>
      <c r="F10" s="8"/>
      <c r="G10" s="275">
        <f t="shared" si="0"/>
        <v>-1842.4399999999996</v>
      </c>
      <c r="H10" s="249"/>
      <c r="I10" s="276" t="s">
        <v>156</v>
      </c>
      <c r="J10" s="208"/>
    </row>
    <row r="11" spans="1:10" ht="28" customHeight="1" x14ac:dyDescent="0.3">
      <c r="A11" s="12" t="s">
        <v>23</v>
      </c>
      <c r="B11" s="13">
        <v>5000</v>
      </c>
      <c r="C11" s="13"/>
      <c r="D11" s="13">
        <v>511.93</v>
      </c>
      <c r="E11" s="8"/>
      <c r="F11" s="386"/>
      <c r="G11" s="275">
        <f t="shared" si="0"/>
        <v>4488.07</v>
      </c>
      <c r="H11" s="249"/>
      <c r="I11" s="276" t="s">
        <v>154</v>
      </c>
      <c r="J11" s="208"/>
    </row>
    <row r="12" spans="1:10" ht="28" customHeight="1" x14ac:dyDescent="0.3">
      <c r="A12" s="12" t="s">
        <v>24</v>
      </c>
      <c r="B12" s="13">
        <v>500</v>
      </c>
      <c r="C12" s="13"/>
      <c r="D12" s="13">
        <v>186.02</v>
      </c>
      <c r="E12" s="8"/>
      <c r="F12" s="8"/>
      <c r="G12" s="275">
        <f t="shared" si="0"/>
        <v>313.98</v>
      </c>
      <c r="H12" s="249"/>
      <c r="I12" s="276"/>
      <c r="J12" s="208"/>
    </row>
    <row r="13" spans="1:10" ht="28" customHeight="1" x14ac:dyDescent="0.3">
      <c r="A13" s="12" t="s">
        <v>25</v>
      </c>
      <c r="B13" s="13">
        <v>30000</v>
      </c>
      <c r="C13" s="13"/>
      <c r="D13" s="13">
        <v>36428.86</v>
      </c>
      <c r="E13" s="8"/>
      <c r="F13" s="386"/>
      <c r="G13" s="275">
        <f t="shared" si="0"/>
        <v>-6428.8600000000006</v>
      </c>
      <c r="H13" s="249" t="s">
        <v>122</v>
      </c>
      <c r="I13" s="276" t="s">
        <v>153</v>
      </c>
      <c r="J13" s="208"/>
    </row>
    <row r="14" spans="1:10" ht="28" customHeight="1" x14ac:dyDescent="0.3">
      <c r="A14" s="12" t="s">
        <v>64</v>
      </c>
      <c r="B14" s="13">
        <v>15000</v>
      </c>
      <c r="C14" s="13"/>
      <c r="D14" s="13"/>
      <c r="E14" s="8"/>
      <c r="F14" s="386"/>
      <c r="G14" s="275">
        <f t="shared" si="0"/>
        <v>15000</v>
      </c>
      <c r="H14" s="249"/>
      <c r="I14" s="276" t="s">
        <v>183</v>
      </c>
      <c r="J14" s="208"/>
    </row>
    <row r="15" spans="1:10" ht="28" customHeight="1" x14ac:dyDescent="0.3">
      <c r="A15" s="16" t="s">
        <v>84</v>
      </c>
      <c r="B15" s="17"/>
      <c r="C15" s="17"/>
      <c r="D15" s="17"/>
      <c r="E15" s="17"/>
      <c r="F15" s="17"/>
      <c r="G15" s="275">
        <f t="shared" si="0"/>
        <v>0</v>
      </c>
      <c r="H15" s="251"/>
      <c r="I15" s="277"/>
      <c r="J15" s="208"/>
    </row>
    <row r="16" spans="1:10" ht="28" customHeight="1" thickBot="1" x14ac:dyDescent="0.35">
      <c r="A16" s="16"/>
      <c r="B16" s="17"/>
      <c r="C16" s="17"/>
      <c r="D16" s="17"/>
      <c r="E16" s="17"/>
      <c r="F16" s="17"/>
      <c r="G16" s="275">
        <f t="shared" si="0"/>
        <v>0</v>
      </c>
      <c r="H16" s="251"/>
      <c r="I16" s="277"/>
      <c r="J16" s="208"/>
    </row>
    <row r="17" spans="1:10" ht="28" customHeight="1" thickBot="1" x14ac:dyDescent="0.35">
      <c r="A17" s="20" t="s">
        <v>11</v>
      </c>
      <c r="B17" s="21">
        <f>SUM(B18:B20)</f>
        <v>14216</v>
      </c>
      <c r="C17" s="21"/>
      <c r="D17" s="21">
        <f>SUM(D18:D20)</f>
        <v>11022.61</v>
      </c>
      <c r="E17" s="21"/>
      <c r="F17" s="21"/>
      <c r="G17" s="278">
        <f>SUM(G18:G20)</f>
        <v>3193.39</v>
      </c>
      <c r="H17" s="394"/>
      <c r="I17" s="278"/>
      <c r="J17" s="208"/>
    </row>
    <row r="18" spans="1:10" ht="28" customHeight="1" x14ac:dyDescent="0.3">
      <c r="A18" s="24" t="s">
        <v>75</v>
      </c>
      <c r="B18" s="8">
        <v>4010</v>
      </c>
      <c r="C18" s="8"/>
      <c r="D18" s="8">
        <v>1783.37</v>
      </c>
      <c r="E18" s="8"/>
      <c r="F18" s="8"/>
      <c r="G18" s="275">
        <f>B18+C18-D18-E18-F18</f>
        <v>2226.63</v>
      </c>
      <c r="H18" s="248" t="s">
        <v>116</v>
      </c>
      <c r="I18" s="275" t="s">
        <v>157</v>
      </c>
      <c r="J18" s="208"/>
    </row>
    <row r="19" spans="1:10" ht="28" customHeight="1" x14ac:dyDescent="0.3">
      <c r="A19" s="25" t="s">
        <v>12</v>
      </c>
      <c r="B19" s="13">
        <v>4656</v>
      </c>
      <c r="C19" s="13"/>
      <c r="D19" s="13">
        <v>3555.81</v>
      </c>
      <c r="E19" s="8"/>
      <c r="F19" s="8"/>
      <c r="G19" s="275">
        <f t="shared" ref="G19:G20" si="1">B19+C19-D19-E19-F19</f>
        <v>1100.19</v>
      </c>
      <c r="H19" s="249" t="s">
        <v>117</v>
      </c>
      <c r="I19" s="276" t="s">
        <v>180</v>
      </c>
      <c r="J19" s="208"/>
    </row>
    <row r="20" spans="1:10" ht="28" customHeight="1" x14ac:dyDescent="0.3">
      <c r="A20" s="25" t="s">
        <v>13</v>
      </c>
      <c r="B20" s="13">
        <v>5550</v>
      </c>
      <c r="C20" s="13"/>
      <c r="D20" s="13">
        <v>5683.43</v>
      </c>
      <c r="E20" s="8"/>
      <c r="F20" s="8"/>
      <c r="G20" s="275">
        <f t="shared" si="1"/>
        <v>-133.43000000000029</v>
      </c>
      <c r="H20" s="249" t="s">
        <v>125</v>
      </c>
      <c r="I20" s="276" t="s">
        <v>155</v>
      </c>
      <c r="J20" s="208"/>
    </row>
    <row r="21" spans="1:10" ht="28" customHeight="1" thickBot="1" x14ac:dyDescent="0.35">
      <c r="A21" s="26"/>
      <c r="B21" s="17"/>
      <c r="C21" s="17"/>
      <c r="D21" s="17"/>
      <c r="E21" s="17"/>
      <c r="F21" s="17"/>
      <c r="G21" s="277"/>
      <c r="H21" s="251"/>
      <c r="I21" s="277"/>
      <c r="J21" s="208"/>
    </row>
    <row r="22" spans="1:10" ht="28" customHeight="1" thickBot="1" x14ac:dyDescent="0.35">
      <c r="A22" s="20" t="s">
        <v>62</v>
      </c>
      <c r="B22" s="21">
        <f>SUM(B24:B33)</f>
        <v>135120</v>
      </c>
      <c r="C22" s="21"/>
      <c r="D22" s="21">
        <f>SUM(D24:D33)</f>
        <v>101954.36</v>
      </c>
      <c r="E22" s="21"/>
      <c r="F22" s="21"/>
      <c r="G22" s="278">
        <f>SUM(G24:G33)</f>
        <v>33165.64</v>
      </c>
      <c r="H22" s="394"/>
      <c r="I22" s="278"/>
      <c r="J22" s="208"/>
    </row>
    <row r="23" spans="1:10" ht="28" customHeight="1" x14ac:dyDescent="0.3">
      <c r="A23" s="24" t="s">
        <v>14</v>
      </c>
      <c r="B23" s="8"/>
      <c r="C23" s="8"/>
      <c r="D23" s="8"/>
      <c r="E23" s="8"/>
      <c r="F23" s="8"/>
      <c r="G23" s="275"/>
      <c r="H23" s="248" t="s">
        <v>126</v>
      </c>
      <c r="I23" s="275"/>
      <c r="J23" s="208"/>
    </row>
    <row r="24" spans="1:10" ht="28" customHeight="1" x14ac:dyDescent="0.3">
      <c r="A24" s="25" t="s">
        <v>15</v>
      </c>
      <c r="B24" s="8">
        <f>2700+2000</f>
        <v>4700</v>
      </c>
      <c r="C24" s="8"/>
      <c r="D24" s="8">
        <f>8400+6150</f>
        <v>14550</v>
      </c>
      <c r="E24" s="8"/>
      <c r="F24" s="8"/>
      <c r="G24" s="275">
        <f>B24+C24-D24-E24-F24</f>
        <v>-9850</v>
      </c>
      <c r="H24" s="249" t="s">
        <v>191</v>
      </c>
      <c r="I24" s="276"/>
      <c r="J24" s="208"/>
    </row>
    <row r="25" spans="1:10" ht="28" customHeight="1" x14ac:dyDescent="0.3">
      <c r="A25" s="25" t="s">
        <v>16</v>
      </c>
      <c r="B25" s="13">
        <v>4100</v>
      </c>
      <c r="C25" s="13"/>
      <c r="D25" s="13"/>
      <c r="E25" s="13"/>
      <c r="F25" s="8"/>
      <c r="G25" s="275">
        <f t="shared" ref="G25:G33" si="2">B25+C25-D25-E25-F25</f>
        <v>4100</v>
      </c>
      <c r="H25" s="249" t="s">
        <v>134</v>
      </c>
      <c r="I25" s="276"/>
      <c r="J25" s="208"/>
    </row>
    <row r="26" spans="1:10" ht="28" customHeight="1" x14ac:dyDescent="0.3">
      <c r="A26" s="25" t="s">
        <v>68</v>
      </c>
      <c r="B26" s="13">
        <v>1120</v>
      </c>
      <c r="C26" s="13"/>
      <c r="D26" s="13">
        <v>1139.28</v>
      </c>
      <c r="E26" s="13"/>
      <c r="F26" s="8"/>
      <c r="G26" s="275">
        <f t="shared" si="2"/>
        <v>-19.279999999999973</v>
      </c>
      <c r="H26" s="249"/>
      <c r="I26" s="276"/>
      <c r="J26" s="208"/>
    </row>
    <row r="27" spans="1:10" ht="28" customHeight="1" x14ac:dyDescent="0.3">
      <c r="A27" s="25" t="s">
        <v>17</v>
      </c>
      <c r="B27" s="13">
        <v>4000</v>
      </c>
      <c r="C27" s="13"/>
      <c r="D27" s="13">
        <v>2968</v>
      </c>
      <c r="E27" s="13"/>
      <c r="F27" s="8"/>
      <c r="G27" s="275">
        <f t="shared" si="2"/>
        <v>1032</v>
      </c>
      <c r="H27" s="249" t="s">
        <v>139</v>
      </c>
      <c r="I27" s="276"/>
      <c r="J27" s="208"/>
    </row>
    <row r="28" spans="1:10" ht="28" customHeight="1" x14ac:dyDescent="0.3">
      <c r="A28" s="25" t="s">
        <v>18</v>
      </c>
      <c r="B28" s="13">
        <v>50</v>
      </c>
      <c r="C28" s="13"/>
      <c r="D28" s="13">
        <f>35.28+15.16</f>
        <v>50.44</v>
      </c>
      <c r="E28" s="13"/>
      <c r="F28" s="8"/>
      <c r="G28" s="275">
        <f t="shared" si="2"/>
        <v>-0.43999999999999773</v>
      </c>
      <c r="H28" s="249" t="s">
        <v>123</v>
      </c>
      <c r="I28" s="276"/>
      <c r="J28" s="208"/>
    </row>
    <row r="29" spans="1:10" ht="28" customHeight="1" x14ac:dyDescent="0.3">
      <c r="A29" s="25" t="s">
        <v>19</v>
      </c>
      <c r="B29" s="13">
        <v>1950</v>
      </c>
      <c r="C29" s="13"/>
      <c r="D29" s="13">
        <v>1950</v>
      </c>
      <c r="E29" s="13"/>
      <c r="F29" s="8"/>
      <c r="G29" s="275">
        <f t="shared" si="2"/>
        <v>0</v>
      </c>
      <c r="H29" s="249"/>
      <c r="I29" s="276"/>
      <c r="J29" s="208"/>
    </row>
    <row r="30" spans="1:10" ht="28" customHeight="1" x14ac:dyDescent="0.3">
      <c r="A30" s="25" t="s">
        <v>20</v>
      </c>
      <c r="B30" s="13"/>
      <c r="C30" s="13"/>
      <c r="D30" s="13"/>
      <c r="E30" s="13"/>
      <c r="F30" s="8"/>
      <c r="G30" s="275">
        <f t="shared" si="2"/>
        <v>0</v>
      </c>
      <c r="H30" s="249" t="s">
        <v>129</v>
      </c>
      <c r="I30" s="276"/>
      <c r="J30" s="208"/>
    </row>
    <row r="31" spans="1:10" ht="28" customHeight="1" x14ac:dyDescent="0.3">
      <c r="A31" s="25" t="s">
        <v>127</v>
      </c>
      <c r="B31" s="13">
        <v>4200</v>
      </c>
      <c r="C31" s="13"/>
      <c r="D31" s="13">
        <v>20000</v>
      </c>
      <c r="E31" s="13"/>
      <c r="F31" s="8"/>
      <c r="G31" s="275">
        <f t="shared" si="2"/>
        <v>-15800</v>
      </c>
      <c r="H31" s="249" t="s">
        <v>187</v>
      </c>
      <c r="I31" s="276"/>
      <c r="J31" s="208"/>
    </row>
    <row r="32" spans="1:10" ht="28" customHeight="1" x14ac:dyDescent="0.3">
      <c r="A32" s="26"/>
      <c r="B32" s="17"/>
      <c r="C32" s="17"/>
      <c r="D32" s="17"/>
      <c r="E32" s="17"/>
      <c r="F32" s="13"/>
      <c r="G32" s="275">
        <f t="shared" si="2"/>
        <v>0</v>
      </c>
      <c r="H32" s="251"/>
      <c r="I32" s="277"/>
      <c r="J32" s="208"/>
    </row>
    <row r="33" spans="1:10" ht="28" customHeight="1" thickBot="1" x14ac:dyDescent="0.35">
      <c r="A33" s="16" t="s">
        <v>21</v>
      </c>
      <c r="B33" s="17">
        <v>115000</v>
      </c>
      <c r="C33" s="17"/>
      <c r="D33" s="17">
        <f>30805.46+1995+4661.34+6000+8484+9350.84</f>
        <v>61296.639999999999</v>
      </c>
      <c r="E33" s="17"/>
      <c r="F33" s="389">
        <v>0</v>
      </c>
      <c r="G33" s="275">
        <f t="shared" si="2"/>
        <v>53703.360000000001</v>
      </c>
      <c r="H33" s="251" t="s">
        <v>188</v>
      </c>
      <c r="I33" s="277"/>
      <c r="J33" s="208"/>
    </row>
    <row r="34" spans="1:10" ht="28" customHeight="1" thickBot="1" x14ac:dyDescent="0.35">
      <c r="A34" s="20" t="s">
        <v>70</v>
      </c>
      <c r="B34" s="21">
        <f>SUM(B2:B33)-B17-B22</f>
        <v>1075369.5872</v>
      </c>
      <c r="C34" s="21">
        <f>SUM(C3:C33)</f>
        <v>24233.99</v>
      </c>
      <c r="D34" s="21">
        <f>SUM(D2:D33)-D17-D22</f>
        <v>835170.05</v>
      </c>
      <c r="E34" s="21"/>
      <c r="F34" s="387">
        <f>SUM(F2:F33)-F17-F22</f>
        <v>0</v>
      </c>
      <c r="G34" s="278">
        <f>B34+C34-D34-E34-F34</f>
        <v>264433.52719999989</v>
      </c>
      <c r="H34" s="395"/>
      <c r="I34" s="279"/>
    </row>
    <row r="35" spans="1:10" ht="28" customHeight="1" x14ac:dyDescent="0.3">
      <c r="A35" s="27"/>
      <c r="B35" s="28"/>
      <c r="C35" s="28"/>
      <c r="D35" s="28"/>
      <c r="E35" s="28"/>
      <c r="F35" s="28"/>
      <c r="G35" s="287"/>
      <c r="H35" s="29"/>
      <c r="I35" s="280"/>
    </row>
    <row r="36" spans="1:10" ht="28" customHeight="1" thickBot="1" x14ac:dyDescent="0.35">
      <c r="A36" s="135"/>
      <c r="B36" s="136"/>
      <c r="C36" s="136"/>
      <c r="D36" s="136"/>
      <c r="E36" s="136"/>
      <c r="F36" s="136"/>
      <c r="G36" s="281"/>
      <c r="H36" s="136"/>
      <c r="I36" s="281"/>
    </row>
    <row r="37" spans="1:10" ht="28" customHeight="1" thickBot="1" x14ac:dyDescent="0.35">
      <c r="A37" s="138" t="s">
        <v>71</v>
      </c>
      <c r="B37" s="312"/>
      <c r="C37" s="312"/>
      <c r="D37" s="348"/>
      <c r="E37" s="348"/>
      <c r="F37" s="348"/>
      <c r="G37" s="402"/>
      <c r="H37" s="256"/>
      <c r="I37" s="282"/>
    </row>
    <row r="38" spans="1:10" ht="28" customHeight="1" thickBot="1" x14ac:dyDescent="0.35">
      <c r="A38" s="35"/>
      <c r="B38" s="313"/>
      <c r="C38" s="313"/>
      <c r="D38" s="349"/>
      <c r="E38" s="349"/>
      <c r="F38" s="349"/>
      <c r="G38" s="403"/>
      <c r="H38" s="51"/>
      <c r="I38" s="283"/>
    </row>
    <row r="39" spans="1:10" ht="28" customHeight="1" thickBot="1" x14ac:dyDescent="0.35">
      <c r="A39" s="39" t="s">
        <v>26</v>
      </c>
      <c r="B39" s="314">
        <f>SUM(B41:B50)</f>
        <v>374012</v>
      </c>
      <c r="C39" s="314"/>
      <c r="D39" s="317"/>
      <c r="E39" s="317"/>
      <c r="F39" s="317"/>
      <c r="G39" s="404">
        <f>B39-D39</f>
        <v>374012</v>
      </c>
      <c r="H39" s="317"/>
      <c r="I39" s="143"/>
    </row>
    <row r="40" spans="1:10" ht="28" customHeight="1" x14ac:dyDescent="0.3">
      <c r="A40" s="43" t="s">
        <v>53</v>
      </c>
      <c r="B40" s="315"/>
      <c r="C40" s="315"/>
      <c r="D40" s="350"/>
      <c r="E40" s="350"/>
      <c r="F40" s="350"/>
      <c r="G40" s="405"/>
      <c r="H40" s="258"/>
      <c r="I40" s="284"/>
    </row>
    <row r="41" spans="1:10" ht="28" customHeight="1" x14ac:dyDescent="0.3">
      <c r="A41" s="47" t="s">
        <v>27</v>
      </c>
      <c r="B41" s="316">
        <v>40364</v>
      </c>
      <c r="C41" s="316"/>
      <c r="D41" s="260">
        <f>40364-15613.65</f>
        <v>24750.35</v>
      </c>
      <c r="E41" s="260"/>
      <c r="F41" s="260"/>
      <c r="G41" s="406">
        <f>B41+C41-D41-E41-F41</f>
        <v>15613.650000000001</v>
      </c>
      <c r="H41" s="259"/>
      <c r="I41" s="285" t="s">
        <v>184</v>
      </c>
    </row>
    <row r="42" spans="1:10" ht="28" customHeight="1" x14ac:dyDescent="0.3">
      <c r="A42" s="47" t="s">
        <v>28</v>
      </c>
      <c r="B42" s="316">
        <v>40364</v>
      </c>
      <c r="C42" s="316"/>
      <c r="D42" s="260">
        <v>40364</v>
      </c>
      <c r="E42" s="260"/>
      <c r="F42" s="260"/>
      <c r="G42" s="406">
        <f t="shared" ref="G42:G65" si="3">B42+C42-D42-E42-F42</f>
        <v>0</v>
      </c>
      <c r="H42" s="259"/>
      <c r="I42" s="285" t="s">
        <v>160</v>
      </c>
    </row>
    <row r="43" spans="1:10" ht="28" customHeight="1" x14ac:dyDescent="0.3">
      <c r="A43" s="47" t="s">
        <v>29</v>
      </c>
      <c r="B43" s="316">
        <v>40364</v>
      </c>
      <c r="C43" s="316"/>
      <c r="D43" s="260">
        <f>40364-13174.11</f>
        <v>27189.89</v>
      </c>
      <c r="E43" s="260"/>
      <c r="F43" s="260"/>
      <c r="G43" s="406">
        <f t="shared" si="3"/>
        <v>13174.11</v>
      </c>
      <c r="H43" s="259"/>
      <c r="I43" s="285" t="s">
        <v>184</v>
      </c>
    </row>
    <row r="44" spans="1:10" ht="28" customHeight="1" x14ac:dyDescent="0.3">
      <c r="A44" s="47" t="s">
        <v>30</v>
      </c>
      <c r="B44" s="316">
        <v>40364</v>
      </c>
      <c r="C44" s="316"/>
      <c r="D44" s="260">
        <f>40364-4300</f>
        <v>36064</v>
      </c>
      <c r="E44" s="260"/>
      <c r="F44" s="260"/>
      <c r="G44" s="406">
        <f t="shared" si="3"/>
        <v>4300</v>
      </c>
      <c r="H44" s="259"/>
      <c r="I44" s="285" t="s">
        <v>184</v>
      </c>
    </row>
    <row r="45" spans="1:10" ht="28" customHeight="1" x14ac:dyDescent="0.3">
      <c r="A45" s="47" t="s">
        <v>31</v>
      </c>
      <c r="B45" s="316">
        <v>40364</v>
      </c>
      <c r="C45" s="316"/>
      <c r="D45" s="260">
        <f>40364</f>
        <v>40364</v>
      </c>
      <c r="E45" s="260"/>
      <c r="F45" s="260"/>
      <c r="G45" s="406">
        <f t="shared" si="3"/>
        <v>0</v>
      </c>
      <c r="H45" s="259"/>
      <c r="I45" s="285"/>
    </row>
    <row r="46" spans="1:10" ht="28" customHeight="1" x14ac:dyDescent="0.3">
      <c r="A46" s="47" t="s">
        <v>32</v>
      </c>
      <c r="B46" s="316">
        <v>40364</v>
      </c>
      <c r="C46" s="316"/>
      <c r="D46" s="260">
        <f>40364-3944</f>
        <v>36420</v>
      </c>
      <c r="E46" s="260"/>
      <c r="F46" s="260"/>
      <c r="G46" s="406">
        <f t="shared" si="3"/>
        <v>3944</v>
      </c>
      <c r="H46" s="259"/>
      <c r="I46" s="285" t="s">
        <v>184</v>
      </c>
    </row>
    <row r="47" spans="1:10" ht="28" customHeight="1" x14ac:dyDescent="0.3">
      <c r="A47" s="47" t="s">
        <v>33</v>
      </c>
      <c r="B47" s="316">
        <v>40364</v>
      </c>
      <c r="C47" s="316"/>
      <c r="D47" s="260">
        <f>40364-2049</f>
        <v>38315</v>
      </c>
      <c r="E47" s="260"/>
      <c r="F47" s="260"/>
      <c r="G47" s="406">
        <f t="shared" si="3"/>
        <v>2049</v>
      </c>
      <c r="H47" s="259"/>
      <c r="I47" s="285" t="s">
        <v>184</v>
      </c>
    </row>
    <row r="48" spans="1:10" ht="28" customHeight="1" x14ac:dyDescent="0.3">
      <c r="A48" s="47" t="s">
        <v>76</v>
      </c>
      <c r="B48" s="316"/>
      <c r="C48" s="316"/>
      <c r="D48" s="260"/>
      <c r="E48" s="260"/>
      <c r="F48" s="260"/>
      <c r="G48" s="406">
        <f t="shared" si="3"/>
        <v>0</v>
      </c>
      <c r="H48" s="259"/>
      <c r="I48" s="285" t="s">
        <v>184</v>
      </c>
    </row>
    <row r="49" spans="1:9" ht="28" customHeight="1" x14ac:dyDescent="0.3">
      <c r="A49" s="47" t="s">
        <v>34</v>
      </c>
      <c r="B49" s="316">
        <v>50900</v>
      </c>
      <c r="C49" s="316"/>
      <c r="D49" s="260">
        <f>66200-16225.82</f>
        <v>49974.18</v>
      </c>
      <c r="E49" s="260"/>
      <c r="F49" s="260"/>
      <c r="G49" s="406">
        <f t="shared" si="3"/>
        <v>925.81999999999971</v>
      </c>
      <c r="H49" s="259"/>
      <c r="I49" s="285" t="s">
        <v>184</v>
      </c>
    </row>
    <row r="50" spans="1:9" ht="28" customHeight="1" x14ac:dyDescent="0.3">
      <c r="A50" s="47" t="s">
        <v>35</v>
      </c>
      <c r="B50" s="316">
        <v>40564</v>
      </c>
      <c r="C50" s="316"/>
      <c r="D50" s="260">
        <v>40564</v>
      </c>
      <c r="E50" s="260"/>
      <c r="F50" s="388"/>
      <c r="G50" s="406">
        <f t="shared" si="3"/>
        <v>0</v>
      </c>
      <c r="H50" s="259"/>
      <c r="I50" s="285" t="s">
        <v>158</v>
      </c>
    </row>
    <row r="51" spans="1:9" ht="28" customHeight="1" x14ac:dyDescent="0.3">
      <c r="A51" s="47"/>
      <c r="B51" s="316"/>
      <c r="C51" s="316"/>
      <c r="D51" s="260"/>
      <c r="E51" s="260"/>
      <c r="F51" s="260"/>
      <c r="G51" s="406">
        <f t="shared" si="3"/>
        <v>0</v>
      </c>
      <c r="H51" s="259"/>
      <c r="I51" s="285"/>
    </row>
    <row r="52" spans="1:9" ht="28" customHeight="1" x14ac:dyDescent="0.3">
      <c r="A52" s="345" t="s">
        <v>77</v>
      </c>
      <c r="B52" s="316">
        <v>32883.82</v>
      </c>
      <c r="C52" s="316"/>
      <c r="D52" s="260"/>
      <c r="E52" s="260"/>
      <c r="F52" s="260"/>
      <c r="G52" s="406">
        <f t="shared" si="3"/>
        <v>32883.82</v>
      </c>
      <c r="H52" s="259"/>
      <c r="I52" s="285"/>
    </row>
    <row r="53" spans="1:9" ht="28" customHeight="1" x14ac:dyDescent="0.3">
      <c r="A53" s="53" t="s">
        <v>36</v>
      </c>
      <c r="B53" s="260">
        <v>15000</v>
      </c>
      <c r="C53" s="260"/>
      <c r="D53" s="260">
        <v>15000</v>
      </c>
      <c r="E53" s="260"/>
      <c r="F53" s="260"/>
      <c r="G53" s="406">
        <f t="shared" si="3"/>
        <v>0</v>
      </c>
      <c r="H53" s="259"/>
      <c r="I53" s="285"/>
    </row>
    <row r="54" spans="1:9" ht="28" customHeight="1" x14ac:dyDescent="0.3">
      <c r="A54" s="53" t="s">
        <v>114</v>
      </c>
      <c r="B54" s="260">
        <v>170000</v>
      </c>
      <c r="C54" s="260"/>
      <c r="D54" s="260">
        <v>170000</v>
      </c>
      <c r="E54" s="260"/>
      <c r="F54" s="260"/>
      <c r="G54" s="406">
        <f t="shared" si="3"/>
        <v>0</v>
      </c>
      <c r="H54" s="259"/>
      <c r="I54" s="285"/>
    </row>
    <row r="55" spans="1:9" ht="28" customHeight="1" x14ac:dyDescent="0.3">
      <c r="A55" s="53" t="s">
        <v>115</v>
      </c>
      <c r="B55" s="260">
        <v>74929</v>
      </c>
      <c r="C55" s="260"/>
      <c r="D55" s="260">
        <v>74929</v>
      </c>
      <c r="E55" s="260"/>
      <c r="F55" s="260"/>
      <c r="G55" s="406">
        <f t="shared" si="3"/>
        <v>0</v>
      </c>
      <c r="H55" s="259"/>
      <c r="I55" s="285"/>
    </row>
    <row r="56" spans="1:9" ht="28" hidden="1" customHeight="1" x14ac:dyDescent="0.3">
      <c r="A56" s="53" t="s">
        <v>54</v>
      </c>
      <c r="B56" s="260"/>
      <c r="C56" s="260"/>
      <c r="D56" s="260"/>
      <c r="E56" s="260"/>
      <c r="F56" s="260"/>
      <c r="G56" s="406">
        <f t="shared" si="3"/>
        <v>0</v>
      </c>
      <c r="H56" s="259"/>
      <c r="I56" s="285"/>
    </row>
    <row r="57" spans="1:9" ht="28" hidden="1" customHeight="1" x14ac:dyDescent="0.3">
      <c r="A57" s="53" t="s">
        <v>55</v>
      </c>
      <c r="B57" s="260"/>
      <c r="C57" s="260"/>
      <c r="D57" s="260"/>
      <c r="E57" s="260"/>
      <c r="F57" s="260"/>
      <c r="G57" s="406">
        <f t="shared" si="3"/>
        <v>0</v>
      </c>
      <c r="H57" s="259"/>
      <c r="I57" s="285"/>
    </row>
    <row r="58" spans="1:9" ht="28" hidden="1" customHeight="1" x14ac:dyDescent="0.3">
      <c r="A58" s="53" t="s">
        <v>56</v>
      </c>
      <c r="B58" s="260"/>
      <c r="C58" s="260"/>
      <c r="D58" s="260"/>
      <c r="E58" s="260"/>
      <c r="F58" s="260"/>
      <c r="G58" s="406">
        <f t="shared" si="3"/>
        <v>0</v>
      </c>
      <c r="H58" s="259"/>
      <c r="I58" s="285"/>
    </row>
    <row r="59" spans="1:9" ht="28" hidden="1" customHeight="1" x14ac:dyDescent="0.3">
      <c r="A59" s="53" t="s">
        <v>57</v>
      </c>
      <c r="B59" s="260"/>
      <c r="C59" s="260"/>
      <c r="D59" s="260"/>
      <c r="E59" s="260"/>
      <c r="F59" s="260"/>
      <c r="G59" s="406">
        <f t="shared" si="3"/>
        <v>0</v>
      </c>
      <c r="H59" s="259"/>
      <c r="I59" s="285"/>
    </row>
    <row r="60" spans="1:9" ht="28" customHeight="1" x14ac:dyDescent="0.3">
      <c r="A60" s="55" t="s">
        <v>159</v>
      </c>
      <c r="B60" s="261">
        <v>25071</v>
      </c>
      <c r="C60" s="261"/>
      <c r="D60" s="261">
        <v>25071</v>
      </c>
      <c r="E60" s="261"/>
      <c r="F60" s="261"/>
      <c r="G60" s="406">
        <f t="shared" si="3"/>
        <v>0</v>
      </c>
      <c r="H60" s="396"/>
      <c r="I60" s="286"/>
    </row>
    <row r="61" spans="1:9" ht="28" customHeight="1" x14ac:dyDescent="0.3">
      <c r="A61" s="55" t="s">
        <v>67</v>
      </c>
      <c r="B61" s="261"/>
      <c r="C61" s="261"/>
      <c r="D61" s="261"/>
      <c r="E61" s="261"/>
      <c r="F61" s="261"/>
      <c r="G61" s="406">
        <f t="shared" si="3"/>
        <v>0</v>
      </c>
      <c r="H61" s="396"/>
      <c r="I61" s="286"/>
    </row>
    <row r="62" spans="1:9" ht="28" customHeight="1" x14ac:dyDescent="0.3">
      <c r="A62" s="55" t="s">
        <v>124</v>
      </c>
      <c r="B62" s="261">
        <v>60000</v>
      </c>
      <c r="C62" s="261"/>
      <c r="D62" s="261">
        <v>60000</v>
      </c>
      <c r="E62" s="261"/>
      <c r="F62" s="261"/>
      <c r="G62" s="406">
        <f t="shared" si="3"/>
        <v>0</v>
      </c>
      <c r="H62" s="396"/>
      <c r="I62" s="286"/>
    </row>
    <row r="63" spans="1:9" ht="28" customHeight="1" x14ac:dyDescent="0.3">
      <c r="A63" s="55" t="s">
        <v>193</v>
      </c>
      <c r="B63" s="261"/>
      <c r="C63" s="261">
        <v>65000</v>
      </c>
      <c r="D63" s="261">
        <v>65000</v>
      </c>
      <c r="E63" s="261"/>
      <c r="F63" s="261"/>
      <c r="G63" s="406">
        <f t="shared" si="3"/>
        <v>0</v>
      </c>
      <c r="H63" s="396"/>
      <c r="I63" s="286"/>
    </row>
    <row r="64" spans="1:9" ht="28" customHeight="1" x14ac:dyDescent="0.3">
      <c r="A64" s="55" t="s">
        <v>194</v>
      </c>
      <c r="B64" s="261"/>
      <c r="C64" s="261">
        <v>64920</v>
      </c>
      <c r="D64" s="261">
        <v>64920</v>
      </c>
      <c r="E64" s="261"/>
      <c r="F64" s="261"/>
      <c r="G64" s="406">
        <f t="shared" si="3"/>
        <v>0</v>
      </c>
      <c r="H64" s="396"/>
      <c r="I64" s="286"/>
    </row>
    <row r="65" spans="1:10" ht="28" customHeight="1" thickBot="1" x14ac:dyDescent="0.35">
      <c r="A65" s="55" t="s">
        <v>195</v>
      </c>
      <c r="B65" s="261"/>
      <c r="C65" s="261">
        <v>259000</v>
      </c>
      <c r="D65" s="261">
        <v>259000</v>
      </c>
      <c r="E65" s="261"/>
      <c r="F65" s="261"/>
      <c r="G65" s="406">
        <f t="shared" si="3"/>
        <v>0</v>
      </c>
      <c r="H65" s="396"/>
      <c r="I65" s="286"/>
    </row>
    <row r="66" spans="1:10" s="211" customFormat="1" ht="28" customHeight="1" thickBot="1" x14ac:dyDescent="0.35">
      <c r="A66" s="142" t="s">
        <v>39</v>
      </c>
      <c r="B66" s="317">
        <f>B39+B53+B54+B55+B52+B60+B62</f>
        <v>751895.82</v>
      </c>
      <c r="C66" s="317">
        <f>SUM(C40:C65)</f>
        <v>388920</v>
      </c>
      <c r="D66" s="317">
        <f>SUM(D37:D65)</f>
        <v>1067925.42</v>
      </c>
      <c r="E66" s="317"/>
      <c r="F66" s="317">
        <f>SUM(F41:F62)</f>
        <v>0</v>
      </c>
      <c r="G66" s="162">
        <f>B66+C66-D66-E66-F66</f>
        <v>72890.399999999907</v>
      </c>
      <c r="H66" s="317"/>
      <c r="I66" s="143"/>
    </row>
    <row r="67" spans="1:10" ht="28" customHeight="1" x14ac:dyDescent="0.3">
      <c r="A67" s="27"/>
      <c r="B67" s="28"/>
      <c r="C67" s="28"/>
      <c r="D67" s="28"/>
      <c r="E67" s="28"/>
      <c r="F67" s="28"/>
      <c r="G67" s="287"/>
      <c r="H67" s="28"/>
      <c r="I67" s="287"/>
    </row>
    <row r="68" spans="1:10" ht="28" customHeight="1" thickBot="1" x14ac:dyDescent="0.35">
      <c r="A68" s="31"/>
      <c r="B68" s="32"/>
      <c r="C68" s="32"/>
      <c r="D68" s="32"/>
      <c r="E68" s="32"/>
      <c r="F68" s="32"/>
      <c r="G68" s="288"/>
      <c r="H68" s="32"/>
      <c r="I68" s="288"/>
    </row>
    <row r="69" spans="1:10" ht="28" customHeight="1" thickBot="1" x14ac:dyDescent="0.35">
      <c r="A69" s="144" t="s">
        <v>148</v>
      </c>
      <c r="B69" s="360">
        <v>142000</v>
      </c>
      <c r="C69" s="360"/>
      <c r="D69" s="359">
        <v>142000</v>
      </c>
      <c r="E69" s="377"/>
      <c r="F69" s="377"/>
      <c r="G69" s="407">
        <f>B69+C69-D69-E69</f>
        <v>0</v>
      </c>
      <c r="H69" s="397"/>
      <c r="I69" s="148"/>
    </row>
    <row r="70" spans="1:10" ht="28" customHeight="1" thickBot="1" x14ac:dyDescent="0.35">
      <c r="A70" s="117" t="s">
        <v>78</v>
      </c>
      <c r="B70" s="362">
        <v>0</v>
      </c>
      <c r="C70" s="362"/>
      <c r="D70" s="361"/>
      <c r="E70" s="361"/>
      <c r="F70" s="377"/>
      <c r="G70" s="407">
        <f t="shared" ref="G70:G71" si="4">B70+C70-D70-E70</f>
        <v>0</v>
      </c>
      <c r="H70" s="260"/>
      <c r="I70" s="163"/>
    </row>
    <row r="71" spans="1:10" ht="28" customHeight="1" thickBot="1" x14ac:dyDescent="0.35">
      <c r="A71" s="109" t="s">
        <v>74</v>
      </c>
      <c r="B71" s="318">
        <v>432183.49</v>
      </c>
      <c r="C71" s="318">
        <v>85169</v>
      </c>
      <c r="D71" s="351">
        <v>517352.49</v>
      </c>
      <c r="E71" s="378"/>
      <c r="F71" s="378"/>
      <c r="G71" s="407">
        <f t="shared" si="4"/>
        <v>0</v>
      </c>
      <c r="H71" s="51" t="s">
        <v>128</v>
      </c>
      <c r="I71" s="113"/>
    </row>
    <row r="72" spans="1:10" ht="28" customHeight="1" x14ac:dyDescent="0.3">
      <c r="A72" s="62"/>
      <c r="B72" s="319"/>
      <c r="C72" s="319"/>
      <c r="D72" s="63"/>
      <c r="E72" s="150"/>
      <c r="F72" s="150"/>
      <c r="G72" s="408"/>
      <c r="H72" s="63"/>
      <c r="I72" s="289"/>
    </row>
    <row r="73" spans="1:10" ht="28" customHeight="1" thickBot="1" x14ac:dyDescent="0.35">
      <c r="A73" s="149"/>
      <c r="B73" s="320"/>
      <c r="C73" s="320"/>
      <c r="D73" s="150"/>
      <c r="E73" s="150"/>
      <c r="F73" s="150"/>
      <c r="G73" s="408"/>
      <c r="H73" s="150"/>
      <c r="I73" s="290"/>
    </row>
    <row r="74" spans="1:10" ht="28" customHeight="1" thickBot="1" x14ac:dyDescent="0.35">
      <c r="A74" s="152" t="s">
        <v>45</v>
      </c>
      <c r="B74" s="321"/>
      <c r="C74" s="321"/>
      <c r="D74" s="352"/>
      <c r="E74" s="352"/>
      <c r="F74" s="352"/>
      <c r="G74" s="409"/>
      <c r="H74" s="263"/>
      <c r="I74" s="291"/>
    </row>
    <row r="75" spans="1:10" ht="28" customHeight="1" x14ac:dyDescent="0.3">
      <c r="A75" s="65" t="s">
        <v>46</v>
      </c>
      <c r="B75" s="322">
        <v>65775</v>
      </c>
      <c r="C75" s="322"/>
      <c r="D75" s="353">
        <f>65775+39174.82</f>
        <v>104949.82</v>
      </c>
      <c r="E75" s="353"/>
      <c r="F75" s="353"/>
      <c r="G75" s="410">
        <f>B75+C75-D75-E75-F75</f>
        <v>-39174.820000000007</v>
      </c>
      <c r="H75" s="264" t="s">
        <v>189</v>
      </c>
      <c r="I75" s="292"/>
      <c r="J75" t="s">
        <v>199</v>
      </c>
    </row>
    <row r="76" spans="1:10" ht="28" customHeight="1" x14ac:dyDescent="0.3">
      <c r="A76" s="189" t="s">
        <v>79</v>
      </c>
      <c r="B76" s="323"/>
      <c r="C76" s="323"/>
      <c r="D76" s="354"/>
      <c r="E76" s="354"/>
      <c r="F76" s="354"/>
      <c r="G76" s="410">
        <f t="shared" ref="G76:G82" si="5">B76+C76-D76-E76-F76</f>
        <v>0</v>
      </c>
      <c r="H76" s="398" t="s">
        <v>140</v>
      </c>
      <c r="I76" s="293"/>
    </row>
    <row r="77" spans="1:10" ht="28" customHeight="1" x14ac:dyDescent="0.3">
      <c r="A77" s="294" t="s">
        <v>47</v>
      </c>
      <c r="B77" s="324">
        <v>649992</v>
      </c>
      <c r="C77" s="324"/>
      <c r="D77" s="324">
        <f>585769.91+223819.52-104949.82-25000</f>
        <v>679639.6100000001</v>
      </c>
      <c r="E77" s="324"/>
      <c r="F77" s="324"/>
      <c r="G77" s="410">
        <f t="shared" si="5"/>
        <v>-29647.610000000102</v>
      </c>
      <c r="H77" s="323" t="s">
        <v>186</v>
      </c>
      <c r="I77" s="295" t="s">
        <v>185</v>
      </c>
      <c r="J77" t="s">
        <v>200</v>
      </c>
    </row>
    <row r="78" spans="1:10" ht="28" hidden="1" customHeight="1" x14ac:dyDescent="0.3">
      <c r="A78" s="74" t="s">
        <v>48</v>
      </c>
      <c r="B78" s="325"/>
      <c r="C78" s="325"/>
      <c r="D78" s="353"/>
      <c r="E78" s="353"/>
      <c r="F78" s="353"/>
      <c r="G78" s="410">
        <f t="shared" si="5"/>
        <v>0</v>
      </c>
      <c r="H78" s="264"/>
      <c r="I78" s="292"/>
    </row>
    <row r="79" spans="1:10" ht="28" hidden="1" customHeight="1" x14ac:dyDescent="0.3">
      <c r="A79" s="75" t="s">
        <v>49</v>
      </c>
      <c r="B79" s="326"/>
      <c r="C79" s="326"/>
      <c r="D79" s="355"/>
      <c r="E79" s="355"/>
      <c r="F79" s="355"/>
      <c r="G79" s="410">
        <f t="shared" si="5"/>
        <v>0</v>
      </c>
      <c r="H79" s="266"/>
      <c r="I79" s="293"/>
    </row>
    <row r="80" spans="1:10" ht="28" hidden="1" customHeight="1" x14ac:dyDescent="0.3">
      <c r="A80" s="79" t="s">
        <v>50</v>
      </c>
      <c r="B80" s="327"/>
      <c r="C80" s="327"/>
      <c r="D80" s="355"/>
      <c r="E80" s="355"/>
      <c r="F80" s="355"/>
      <c r="G80" s="410">
        <f t="shared" si="5"/>
        <v>0</v>
      </c>
      <c r="H80" s="266"/>
      <c r="I80" s="293"/>
    </row>
    <row r="81" spans="1:10" ht="28" customHeight="1" x14ac:dyDescent="0.3">
      <c r="A81" s="189" t="s">
        <v>61</v>
      </c>
      <c r="B81" s="323"/>
      <c r="C81" s="323"/>
      <c r="D81" s="355">
        <f>25000+1230</f>
        <v>26230</v>
      </c>
      <c r="E81" s="355"/>
      <c r="F81" s="354"/>
      <c r="G81" s="410">
        <f t="shared" si="5"/>
        <v>-26230</v>
      </c>
      <c r="H81" s="266"/>
      <c r="I81" s="293"/>
      <c r="J81" t="s">
        <v>200</v>
      </c>
    </row>
    <row r="82" spans="1:10" ht="28" customHeight="1" thickBot="1" x14ac:dyDescent="0.35">
      <c r="A82" s="190" t="s">
        <v>51</v>
      </c>
      <c r="B82" s="328">
        <f>1457000+228322.22</f>
        <v>1685322.22</v>
      </c>
      <c r="C82" s="328">
        <v>1631834</v>
      </c>
      <c r="D82" s="356">
        <f>724529.06+732470.94+1795977.34</f>
        <v>3252977.34</v>
      </c>
      <c r="E82" s="356"/>
      <c r="F82" s="356"/>
      <c r="G82" s="410">
        <f t="shared" si="5"/>
        <v>64178.879999999888</v>
      </c>
      <c r="H82" s="245" t="s">
        <v>190</v>
      </c>
      <c r="I82" s="296"/>
    </row>
    <row r="83" spans="1:10" ht="28" customHeight="1" thickBot="1" x14ac:dyDescent="0.35">
      <c r="A83" s="158" t="s">
        <v>52</v>
      </c>
      <c r="B83" s="329">
        <v>2401089.2200000002</v>
      </c>
      <c r="C83" s="329">
        <f>SUM(C75:C82)</f>
        <v>1631834</v>
      </c>
      <c r="D83" s="357">
        <f>SUM(D74:D82)</f>
        <v>4063796.77</v>
      </c>
      <c r="E83" s="357"/>
      <c r="F83" s="357">
        <f>SUM(F75:F82)</f>
        <v>0</v>
      </c>
      <c r="G83" s="411">
        <f>B83+C83-D83-E83-F83</f>
        <v>-30873.549999999814</v>
      </c>
      <c r="H83" s="399"/>
      <c r="I83" s="297"/>
    </row>
    <row r="84" spans="1:10" ht="28" customHeight="1" x14ac:dyDescent="0.3">
      <c r="A84" s="156"/>
      <c r="B84" s="330"/>
      <c r="C84" s="330"/>
      <c r="D84" s="157"/>
      <c r="E84" s="157"/>
      <c r="F84" s="157"/>
      <c r="G84" s="412"/>
      <c r="H84" s="136"/>
      <c r="I84" s="281"/>
    </row>
    <row r="85" spans="1:10" ht="28" customHeight="1" thickBot="1" x14ac:dyDescent="0.35">
      <c r="A85" s="82"/>
      <c r="B85" s="331"/>
      <c r="C85" s="331"/>
      <c r="D85" s="83"/>
      <c r="E85" s="83"/>
      <c r="F85" s="83"/>
      <c r="G85" s="413"/>
      <c r="H85" s="32"/>
      <c r="I85" s="288"/>
    </row>
    <row r="86" spans="1:10" ht="28" customHeight="1" thickBot="1" x14ac:dyDescent="0.35">
      <c r="A86" s="130" t="s">
        <v>72</v>
      </c>
      <c r="B86" s="332"/>
      <c r="C86" s="332"/>
      <c r="D86" s="358"/>
      <c r="E86" s="358"/>
      <c r="F86" s="358"/>
      <c r="G86" s="414"/>
      <c r="H86" s="400"/>
      <c r="I86" s="134"/>
    </row>
    <row r="87" spans="1:10" ht="28" customHeight="1" x14ac:dyDescent="0.3">
      <c r="A87" s="85" t="s">
        <v>40</v>
      </c>
      <c r="B87" s="333"/>
      <c r="C87" s="333"/>
      <c r="D87" s="333"/>
      <c r="E87" s="333"/>
      <c r="F87" s="333"/>
      <c r="G87" s="415">
        <f>B87-D87</f>
        <v>0</v>
      </c>
      <c r="H87" s="269"/>
      <c r="I87" s="298"/>
    </row>
    <row r="88" spans="1:10" ht="28" customHeight="1" x14ac:dyDescent="0.3">
      <c r="A88" s="89" t="s">
        <v>41</v>
      </c>
      <c r="B88" s="334">
        <v>50000</v>
      </c>
      <c r="C88" s="334"/>
      <c r="D88" s="334">
        <v>50000</v>
      </c>
      <c r="E88" s="334"/>
      <c r="F88" s="334"/>
      <c r="G88" s="416">
        <f>B88+C88-D88-E88</f>
        <v>0</v>
      </c>
      <c r="H88" s="270"/>
      <c r="I88" s="299"/>
    </row>
    <row r="89" spans="1:10" ht="28" customHeight="1" x14ac:dyDescent="0.3">
      <c r="A89" s="89" t="s">
        <v>65</v>
      </c>
      <c r="B89" s="334"/>
      <c r="C89" s="334"/>
      <c r="D89" s="334"/>
      <c r="E89" s="334"/>
      <c r="F89" s="334"/>
      <c r="G89" s="416">
        <f t="shared" ref="G89:G94" si="6">B89+C89-D89-E89</f>
        <v>0</v>
      </c>
      <c r="H89" s="270"/>
      <c r="I89" s="299"/>
    </row>
    <row r="90" spans="1:10" ht="28" customHeight="1" x14ac:dyDescent="0.3">
      <c r="A90" s="89" t="s">
        <v>109</v>
      </c>
      <c r="B90" s="334">
        <v>9554357</v>
      </c>
      <c r="C90" s="334">
        <f>5680041</f>
        <v>5680041</v>
      </c>
      <c r="D90" s="334">
        <f>11475706.25+3758691.75+306010</f>
        <v>15540408</v>
      </c>
      <c r="E90" s="334"/>
      <c r="F90" s="334"/>
      <c r="G90" s="416">
        <f t="shared" si="6"/>
        <v>-306010</v>
      </c>
      <c r="H90" s="270"/>
      <c r="I90" s="299"/>
      <c r="J90" t="s">
        <v>200</v>
      </c>
    </row>
    <row r="91" spans="1:10" ht="28" customHeight="1" x14ac:dyDescent="0.3">
      <c r="A91" s="89" t="s">
        <v>197</v>
      </c>
      <c r="B91" s="334"/>
      <c r="C91" s="334">
        <v>80000</v>
      </c>
      <c r="D91" s="334">
        <v>80000</v>
      </c>
      <c r="E91" s="334"/>
      <c r="F91" s="334"/>
      <c r="G91" s="416">
        <f t="shared" si="6"/>
        <v>0</v>
      </c>
      <c r="H91" s="270"/>
      <c r="I91" s="299"/>
    </row>
    <row r="92" spans="1:10" ht="28" customHeight="1" x14ac:dyDescent="0.3">
      <c r="A92" s="89" t="s">
        <v>196</v>
      </c>
      <c r="B92" s="334"/>
      <c r="C92" s="334">
        <v>669842</v>
      </c>
      <c r="D92" s="334">
        <v>669842</v>
      </c>
      <c r="E92" s="334"/>
      <c r="F92" s="334"/>
      <c r="G92" s="416">
        <f t="shared" si="6"/>
        <v>0</v>
      </c>
      <c r="H92" s="270"/>
      <c r="I92" s="299"/>
    </row>
    <row r="93" spans="1:10" s="211" customFormat="1" ht="28" customHeight="1" x14ac:dyDescent="0.3">
      <c r="A93" s="336" t="s">
        <v>43</v>
      </c>
      <c r="B93" s="337">
        <f>SUM(B88:B92)</f>
        <v>9604357</v>
      </c>
      <c r="C93" s="337">
        <f>SUM(C88:C92)</f>
        <v>6429883</v>
      </c>
      <c r="D93" s="337">
        <f>SUM(D87:D92)</f>
        <v>16340250</v>
      </c>
      <c r="E93" s="337"/>
      <c r="F93" s="337"/>
      <c r="G93" s="416">
        <f>B93+C93-D93-E93</f>
        <v>-306010</v>
      </c>
      <c r="H93" s="337"/>
      <c r="I93" s="338"/>
    </row>
    <row r="94" spans="1:10" ht="28" customHeight="1" thickBot="1" x14ac:dyDescent="0.35">
      <c r="A94" s="93"/>
      <c r="B94" s="335"/>
      <c r="C94" s="335"/>
      <c r="D94" s="335"/>
      <c r="E94" s="335"/>
      <c r="F94" s="335"/>
      <c r="G94" s="416">
        <f t="shared" si="6"/>
        <v>0</v>
      </c>
      <c r="H94" s="335"/>
      <c r="I94" s="300"/>
    </row>
    <row r="95" spans="1:10" s="211" customFormat="1" ht="28" customHeight="1" thickBot="1" x14ac:dyDescent="0.35">
      <c r="A95" s="339" t="s">
        <v>44</v>
      </c>
      <c r="B95" s="340">
        <f>B34+B66+B69+B71+B83+B93+B94+B70</f>
        <v>14406895.1172</v>
      </c>
      <c r="C95" s="340">
        <f>C93+C83+C71+C66+C34</f>
        <v>8560039.9900000002</v>
      </c>
      <c r="D95" s="340">
        <f>D93+D83+D71+D70+D69+D66+D34</f>
        <v>22966494.73</v>
      </c>
      <c r="E95" s="340">
        <f>E93+E83+E71+E70+E69+E66+E34</f>
        <v>0</v>
      </c>
      <c r="F95" s="340">
        <f>F93+F83+F71+F70+F69+F66+F34</f>
        <v>0</v>
      </c>
      <c r="G95" s="417">
        <f>B95+C95-D95-E95-F95</f>
        <v>440.37719999998808</v>
      </c>
      <c r="H95" s="340"/>
      <c r="I95" s="341"/>
    </row>
    <row r="96" spans="1:10" ht="43" customHeight="1" thickBot="1" x14ac:dyDescent="0.25"/>
    <row r="97" spans="1:8" ht="43" customHeight="1" x14ac:dyDescent="0.25">
      <c r="B97" s="364"/>
      <c r="C97" s="364"/>
      <c r="D97" s="208"/>
      <c r="F97" s="368" t="s">
        <v>133</v>
      </c>
      <c r="G97" s="369">
        <v>14406895.01</v>
      </c>
    </row>
    <row r="98" spans="1:8" ht="43" customHeight="1" thickBot="1" x14ac:dyDescent="0.3">
      <c r="B98" s="366"/>
      <c r="C98" s="366"/>
      <c r="F98" s="370" t="s">
        <v>132</v>
      </c>
      <c r="G98" s="371">
        <f>B71+B69+B66+B34</f>
        <v>2401448.8972</v>
      </c>
    </row>
    <row r="99" spans="1:8" ht="43" customHeight="1" thickBot="1" x14ac:dyDescent="0.3">
      <c r="B99" s="366"/>
      <c r="C99" s="366"/>
      <c r="F99" s="372" t="s">
        <v>135</v>
      </c>
      <c r="G99" s="367">
        <f>G97-G98</f>
        <v>12005446.1128</v>
      </c>
      <c r="H99" s="363"/>
    </row>
    <row r="100" spans="1:8" ht="43" customHeight="1" x14ac:dyDescent="0.25">
      <c r="B100" s="366"/>
      <c r="C100" s="366"/>
      <c r="F100" s="370" t="s">
        <v>136</v>
      </c>
      <c r="G100" s="373">
        <f>G99*20%</f>
        <v>2401089.2225600001</v>
      </c>
      <c r="H100" s="363"/>
    </row>
    <row r="101" spans="1:8" ht="43" customHeight="1" thickBot="1" x14ac:dyDescent="0.35">
      <c r="B101" s="366"/>
      <c r="C101" s="366"/>
      <c r="F101" s="370" t="s">
        <v>137</v>
      </c>
      <c r="G101" s="374">
        <f>G99*80%</f>
        <v>9604356.8902400006</v>
      </c>
      <c r="H101" s="23"/>
    </row>
    <row r="102" spans="1:8" ht="43" customHeight="1" thickBot="1" x14ac:dyDescent="0.3">
      <c r="B102" s="366"/>
      <c r="C102" s="366"/>
      <c r="F102" s="375" t="s">
        <v>138</v>
      </c>
      <c r="G102" s="367">
        <f>G98+G100+G101</f>
        <v>14406895.010000002</v>
      </c>
    </row>
    <row r="103" spans="1:8" ht="43" customHeight="1" x14ac:dyDescent="0.25">
      <c r="A103" s="364"/>
      <c r="B103" s="365"/>
      <c r="C103" s="365"/>
      <c r="D103" s="364"/>
      <c r="E103" s="364"/>
      <c r="F103" s="364"/>
      <c r="G103" s="365"/>
    </row>
    <row r="104" spans="1:8" ht="43" customHeight="1" x14ac:dyDescent="0.2">
      <c r="B104" s="208"/>
      <c r="C104" s="208"/>
    </row>
  </sheetData>
  <pageMargins left="0.7" right="0.7" top="0.75" bottom="0.75" header="0.3" footer="0.3"/>
  <pageSetup scale="42" orientation="landscape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B177-B601-A84B-8052-89641F345CF3}">
  <dimension ref="A1:D14"/>
  <sheetViews>
    <sheetView topLeftCell="A8" zoomScale="80" zoomScaleNormal="80" workbookViewId="0">
      <selection activeCell="D10" sqref="D5:D10"/>
    </sheetView>
  </sheetViews>
  <sheetFormatPr baseColWidth="10" defaultColWidth="38.6640625" defaultRowHeight="16" x14ac:dyDescent="0.2"/>
  <cols>
    <col min="1" max="1" width="54.5" customWidth="1"/>
    <col min="2" max="2" width="71.1640625" bestFit="1" customWidth="1"/>
    <col min="3" max="3" width="52.83203125" bestFit="1" customWidth="1"/>
  </cols>
  <sheetData>
    <row r="1" spans="1:4" ht="105" customHeight="1" thickBot="1" x14ac:dyDescent="0.3">
      <c r="A1" s="390"/>
      <c r="B1" s="390"/>
      <c r="C1" s="390"/>
    </row>
    <row r="2" spans="1:4" x14ac:dyDescent="0.2">
      <c r="A2" s="391" t="s">
        <v>161</v>
      </c>
      <c r="B2" s="391"/>
      <c r="C2" s="391"/>
      <c r="D2" s="391"/>
    </row>
    <row r="3" spans="1:4" x14ac:dyDescent="0.2">
      <c r="A3" s="391"/>
      <c r="B3" s="391"/>
      <c r="C3" s="391"/>
      <c r="D3" s="391"/>
    </row>
    <row r="4" spans="1:4" ht="29" x14ac:dyDescent="0.2">
      <c r="A4" s="379" t="s">
        <v>80</v>
      </c>
      <c r="B4" s="379" t="s">
        <v>130</v>
      </c>
      <c r="C4" s="380" t="s">
        <v>131</v>
      </c>
      <c r="D4" s="381" t="s">
        <v>81</v>
      </c>
    </row>
    <row r="5" spans="1:4" ht="58" x14ac:dyDescent="0.2">
      <c r="A5" s="382" t="s">
        <v>162</v>
      </c>
      <c r="B5" s="383" t="s">
        <v>163</v>
      </c>
      <c r="C5" s="382" t="s">
        <v>164</v>
      </c>
      <c r="D5" s="384">
        <v>65000</v>
      </c>
    </row>
    <row r="6" spans="1:4" ht="116" x14ac:dyDescent="0.2">
      <c r="A6" s="382" t="s">
        <v>162</v>
      </c>
      <c r="B6" s="383" t="s">
        <v>165</v>
      </c>
      <c r="C6" s="382" t="s">
        <v>166</v>
      </c>
      <c r="D6" s="384">
        <f>8115*8</f>
        <v>64920</v>
      </c>
    </row>
    <row r="7" spans="1:4" ht="58" x14ac:dyDescent="0.2">
      <c r="A7" s="382" t="s">
        <v>162</v>
      </c>
      <c r="B7" s="383" t="s">
        <v>145</v>
      </c>
      <c r="C7" s="382" t="s">
        <v>167</v>
      </c>
      <c r="D7" s="384">
        <v>259000</v>
      </c>
    </row>
    <row r="8" spans="1:4" ht="58" x14ac:dyDescent="0.2">
      <c r="A8" s="382" t="s">
        <v>162</v>
      </c>
      <c r="B8" s="383" t="s">
        <v>168</v>
      </c>
      <c r="C8" s="382" t="s">
        <v>169</v>
      </c>
      <c r="D8" s="384">
        <v>80000</v>
      </c>
    </row>
    <row r="9" spans="1:4" ht="87" x14ac:dyDescent="0.2">
      <c r="A9" s="382" t="s">
        <v>143</v>
      </c>
      <c r="B9" s="383" t="s">
        <v>170</v>
      </c>
      <c r="C9" s="382" t="s">
        <v>171</v>
      </c>
      <c r="D9" s="384">
        <v>5680041</v>
      </c>
    </row>
    <row r="10" spans="1:4" ht="116" x14ac:dyDescent="0.2">
      <c r="A10" s="382" t="s">
        <v>107</v>
      </c>
      <c r="B10" s="383" t="s">
        <v>172</v>
      </c>
      <c r="C10" s="382" t="s">
        <v>173</v>
      </c>
      <c r="D10" s="384">
        <v>669842</v>
      </c>
    </row>
    <row r="11" spans="1:4" ht="29" x14ac:dyDescent="0.2">
      <c r="A11" s="382" t="s">
        <v>174</v>
      </c>
      <c r="B11" s="383" t="s">
        <v>175</v>
      </c>
      <c r="C11" s="382" t="s">
        <v>176</v>
      </c>
      <c r="D11" s="384">
        <v>85169</v>
      </c>
    </row>
    <row r="12" spans="1:4" ht="116" x14ac:dyDescent="0.2">
      <c r="A12" s="382" t="s">
        <v>144</v>
      </c>
      <c r="B12" s="383" t="s">
        <v>177</v>
      </c>
      <c r="C12" s="382" t="s">
        <v>178</v>
      </c>
      <c r="D12" s="384">
        <v>1631834</v>
      </c>
    </row>
    <row r="13" spans="1:4" ht="28" x14ac:dyDescent="0.2">
      <c r="A13" s="392" t="s">
        <v>179</v>
      </c>
      <c r="B13" s="392"/>
      <c r="C13" s="392"/>
      <c r="D13" s="385">
        <f>SUM(D5:D12)</f>
        <v>8535806</v>
      </c>
    </row>
    <row r="14" spans="1:4" x14ac:dyDescent="0.2">
      <c r="D14" s="376"/>
    </row>
  </sheetData>
  <mergeCells count="3">
    <mergeCell ref="A1:C1"/>
    <mergeCell ref="A2:D3"/>
    <mergeCell ref="A13:C1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2020 </vt:lpstr>
      <vt:lpstr>FY 2022 Final</vt:lpstr>
      <vt:lpstr>AFY 2022</vt:lpstr>
      <vt:lpstr>'FY 2022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Hamilton</dc:creator>
  <cp:lastModifiedBy>Katie Hamilton</cp:lastModifiedBy>
  <cp:lastPrinted>2022-01-18T21:28:43Z</cp:lastPrinted>
  <dcterms:created xsi:type="dcterms:W3CDTF">2020-02-21T02:38:24Z</dcterms:created>
  <dcterms:modified xsi:type="dcterms:W3CDTF">2022-07-08T17:53:10Z</dcterms:modified>
</cp:coreProperties>
</file>