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TCNC/Library/CloudStorage/Box-Box/GTC Files and Folders/Commission Meetings/2024 GTC Meetings/BUDGET/2.19.24/"/>
    </mc:Choice>
  </mc:AlternateContent>
  <xr:revisionPtr revIDLastSave="0" documentId="8_{9D51CFD1-EB7E-E74B-934D-2F2CB55969F6}" xr6:coauthVersionLast="47" xr6:coauthVersionMax="47" xr10:uidLastSave="{00000000-0000-0000-0000-000000000000}"/>
  <bookViews>
    <workbookView xWindow="1200" yWindow="760" windowWidth="29040" windowHeight="21200" activeTab="1" xr2:uid="{F47B017D-CE2A-B543-B779-7D37450D873B}"/>
  </bookViews>
  <sheets>
    <sheet name="FY 2020 " sheetId="1" state="hidden" r:id="rId1"/>
    <sheet name="FY 2025 Working" sheetId="6" r:id="rId2"/>
    <sheet name="FY 2025 GQIP Budget" sheetId="16" r:id="rId3"/>
    <sheet name="FY 2025 Meeting Expense" sheetId="15" r:id="rId4"/>
    <sheet name="FY 2025 Contingency Total" sheetId="14" r:id="rId5"/>
    <sheet name="FY 2025 Reallocation Plan" sheetId="12" r:id="rId6"/>
    <sheet name="Historic AFY Line Items" sheetId="2" state="hidden" r:id="rId7"/>
    <sheet name="Funding Priorities" sheetId="11" r:id="rId8"/>
    <sheet name="AFY TEMPLATE" sheetId="8" state="hidden" r:id="rId9"/>
  </sheets>
  <definedNames>
    <definedName name="_xlnm.Print_Area" localSheetId="1">'FY 2025 Working'!$A$1:$H$122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6" l="1"/>
  <c r="B114" i="6"/>
  <c r="D3" i="6"/>
  <c r="B34" i="6"/>
  <c r="D4" i="6"/>
  <c r="B107" i="6"/>
  <c r="B96" i="6"/>
  <c r="B75" i="6"/>
  <c r="B52" i="6"/>
  <c r="B76" i="6" s="1"/>
  <c r="B39" i="6"/>
  <c r="B33" i="6"/>
  <c r="B30" i="6"/>
  <c r="B22" i="6" s="1"/>
  <c r="B17" i="6"/>
  <c r="B9" i="6"/>
  <c r="B3" i="6"/>
  <c r="B4" i="6" s="1"/>
  <c r="B115" i="6" l="1"/>
  <c r="B35" i="6"/>
  <c r="B109" i="6" s="1"/>
  <c r="B117" i="6" l="1"/>
  <c r="B116" i="6"/>
  <c r="B118" i="6" s="1"/>
  <c r="C109" i="6" l="1"/>
  <c r="B8" i="15" l="1"/>
  <c r="F28" i="6" l="1"/>
  <c r="G28" i="6"/>
  <c r="D17" i="6"/>
  <c r="F26" i="6"/>
  <c r="G26" i="6"/>
  <c r="D52" i="6"/>
  <c r="E91" i="6"/>
  <c r="G81" i="6"/>
  <c r="G82" i="6"/>
  <c r="G83" i="6"/>
  <c r="G84" i="6"/>
  <c r="G85" i="6"/>
  <c r="G86" i="6"/>
  <c r="G87" i="6"/>
  <c r="G89" i="6"/>
  <c r="G90" i="6"/>
  <c r="G80" i="6"/>
  <c r="F87" i="6"/>
  <c r="F89" i="6"/>
  <c r="F90" i="6"/>
  <c r="F33" i="6" l="1"/>
  <c r="G33" i="6"/>
  <c r="G9" i="6"/>
  <c r="F9" i="6" l="1"/>
  <c r="F34" i="6" l="1"/>
  <c r="G34" i="6"/>
  <c r="G57" i="6" l="1"/>
  <c r="G23" i="6"/>
  <c r="F23" i="6"/>
  <c r="G14" i="6" l="1"/>
  <c r="F14" i="6"/>
  <c r="G56" i="6"/>
  <c r="F97" i="6" l="1"/>
  <c r="G55" i="6" l="1"/>
  <c r="D30" i="6"/>
  <c r="D22" i="6" s="1"/>
  <c r="D35" i="6" s="1"/>
  <c r="D75" i="6" s="1"/>
  <c r="D76" i="6" l="1"/>
  <c r="C114" i="6" s="1"/>
  <c r="C115" i="6" s="1"/>
  <c r="C117" i="6" l="1"/>
  <c r="D107" i="6" s="1"/>
  <c r="C116" i="6"/>
  <c r="F96" i="6"/>
  <c r="C118" i="6" l="1"/>
  <c r="D91" i="6"/>
  <c r="G91" i="6" s="1"/>
  <c r="E76" i="6"/>
  <c r="E22" i="6"/>
  <c r="E17" i="6"/>
  <c r="E107" i="6"/>
  <c r="F91" i="6" l="1"/>
  <c r="F81" i="6"/>
  <c r="F82" i="6"/>
  <c r="F83" i="6"/>
  <c r="F84" i="6"/>
  <c r="F85" i="6"/>
  <c r="F86" i="6"/>
  <c r="F80" i="6"/>
  <c r="F76" i="6"/>
  <c r="E39" i="6"/>
  <c r="F41" i="6"/>
  <c r="F42" i="6"/>
  <c r="F43" i="6"/>
  <c r="F44" i="6"/>
  <c r="F45" i="6"/>
  <c r="F46" i="6"/>
  <c r="F47" i="6"/>
  <c r="F48" i="6"/>
  <c r="F49" i="6"/>
  <c r="F50" i="6"/>
  <c r="G58" i="6"/>
  <c r="G59" i="6"/>
  <c r="G60" i="6"/>
  <c r="G61" i="6"/>
  <c r="G64" i="6"/>
  <c r="F69" i="6"/>
  <c r="F70" i="6"/>
  <c r="F72" i="6"/>
  <c r="F74" i="6"/>
  <c r="F25" i="6"/>
  <c r="F27" i="6"/>
  <c r="F29" i="6"/>
  <c r="F30" i="6"/>
  <c r="F31" i="6"/>
  <c r="F32" i="6"/>
  <c r="F24" i="6"/>
  <c r="F19" i="6"/>
  <c r="F20" i="6"/>
  <c r="F18" i="6"/>
  <c r="F6" i="6"/>
  <c r="F5" i="6"/>
  <c r="F7" i="6"/>
  <c r="F8" i="6"/>
  <c r="F10" i="6"/>
  <c r="F11" i="6"/>
  <c r="F12" i="6"/>
  <c r="F13" i="6"/>
  <c r="F15" i="6"/>
  <c r="F3" i="6"/>
  <c r="F75" i="6" l="1"/>
  <c r="B1" i="12" l="1"/>
  <c r="B12" i="12"/>
  <c r="G74" i="6"/>
  <c r="G70" i="6"/>
  <c r="G72" i="6"/>
  <c r="G73" i="6"/>
  <c r="G42" i="6"/>
  <c r="G43" i="6"/>
  <c r="G44" i="6"/>
  <c r="G45" i="6"/>
  <c r="G46" i="6"/>
  <c r="G47" i="6"/>
  <c r="G48" i="6"/>
  <c r="G49" i="6"/>
  <c r="G50" i="6"/>
  <c r="G69" i="6"/>
  <c r="G41" i="6"/>
  <c r="G75" i="6"/>
  <c r="G25" i="6"/>
  <c r="G27" i="6"/>
  <c r="G29" i="6"/>
  <c r="G30" i="6"/>
  <c r="G31" i="6"/>
  <c r="G32" i="6"/>
  <c r="G24" i="6"/>
  <c r="G18" i="6"/>
  <c r="G19" i="6"/>
  <c r="G20" i="6"/>
  <c r="G5" i="6"/>
  <c r="G6" i="6"/>
  <c r="G7" i="6"/>
  <c r="G8" i="6"/>
  <c r="G10" i="6"/>
  <c r="G11" i="6"/>
  <c r="G12" i="6"/>
  <c r="G13" i="6"/>
  <c r="G15" i="6"/>
  <c r="G3" i="6"/>
  <c r="F107" i="6" l="1"/>
  <c r="G76" i="6" l="1"/>
  <c r="D39" i="6"/>
  <c r="F39" i="6" s="1"/>
  <c r="E6" i="2" l="1"/>
  <c r="C19" i="2" s="1"/>
  <c r="G22" i="6" l="1"/>
  <c r="F22" i="6"/>
  <c r="D6" i="2"/>
  <c r="C15" i="2" s="1"/>
  <c r="C10" i="2"/>
  <c r="C12" i="2" s="1"/>
  <c r="G17" i="6" l="1"/>
  <c r="F17" i="6"/>
  <c r="G4" i="6"/>
  <c r="F4" i="6"/>
  <c r="F24" i="8" l="1"/>
  <c r="K24" i="8" s="1"/>
  <c r="F16" i="8"/>
  <c r="F18" i="8" s="1"/>
  <c r="F11" i="8"/>
  <c r="K8" i="8"/>
  <c r="J8" i="8"/>
  <c r="K5" i="8"/>
  <c r="K23" i="8" l="1"/>
  <c r="L24" i="8"/>
  <c r="L23" i="8"/>
  <c r="L26" i="8" s="1"/>
  <c r="K20" i="8" l="1"/>
  <c r="K12" i="8"/>
  <c r="I33" i="1" l="1"/>
  <c r="L98" i="1"/>
  <c r="I91" i="1" l="1"/>
  <c r="I108" i="1"/>
  <c r="I95" i="1"/>
  <c r="L91" i="1"/>
  <c r="L92" i="1"/>
  <c r="L93" i="1"/>
  <c r="L94" i="1"/>
  <c r="L87" i="1"/>
  <c r="L88" i="1"/>
  <c r="L89" i="1"/>
  <c r="L90" i="1"/>
  <c r="I78" i="1"/>
  <c r="C14" i="2" l="1"/>
  <c r="C16" i="2" s="1"/>
  <c r="I97" i="1"/>
  <c r="C18" i="2" l="1"/>
  <c r="C20" i="2" s="1"/>
  <c r="O95" i="1"/>
  <c r="O78" i="1"/>
  <c r="O61" i="1"/>
  <c r="O38" i="1"/>
  <c r="O21" i="1"/>
  <c r="O16" i="1"/>
  <c r="O33" i="1" l="1"/>
  <c r="O97" i="1" s="1"/>
  <c r="L77" i="1" l="1"/>
  <c r="M76" i="1" l="1"/>
  <c r="M70" i="1" l="1"/>
  <c r="M54" i="1"/>
  <c r="M53" i="1"/>
  <c r="N83" i="1" l="1"/>
  <c r="N84" i="1"/>
  <c r="N85" i="1"/>
  <c r="N86" i="1"/>
  <c r="N71" i="1"/>
  <c r="N73" i="1"/>
  <c r="N74" i="1"/>
  <c r="N75" i="1"/>
  <c r="N76" i="1"/>
  <c r="N70" i="1"/>
  <c r="N41" i="1"/>
  <c r="N43" i="1"/>
  <c r="N45" i="1"/>
  <c r="N47" i="1"/>
  <c r="N48" i="1"/>
  <c r="N50" i="1"/>
  <c r="N51" i="1"/>
  <c r="N52" i="1"/>
  <c r="N53" i="1"/>
  <c r="N54" i="1"/>
  <c r="N55" i="1"/>
  <c r="N56" i="1"/>
  <c r="N57" i="1"/>
  <c r="N58" i="1"/>
  <c r="N59" i="1"/>
  <c r="N4" i="1"/>
  <c r="N5" i="1"/>
  <c r="N6" i="1"/>
  <c r="N7" i="1"/>
  <c r="N8" i="1"/>
  <c r="N9" i="1"/>
  <c r="N10" i="1"/>
  <c r="N11" i="1"/>
  <c r="N12" i="1"/>
  <c r="N13" i="1"/>
  <c r="N14" i="1"/>
  <c r="N17" i="1"/>
  <c r="N19" i="1"/>
  <c r="N22" i="1"/>
  <c r="N23" i="1"/>
  <c r="N24" i="1"/>
  <c r="N25" i="1"/>
  <c r="N27" i="1"/>
  <c r="N29" i="1"/>
  <c r="N30" i="1"/>
  <c r="N32" i="1"/>
  <c r="L95" i="1" l="1"/>
  <c r="L47" i="1"/>
  <c r="L48" i="1"/>
  <c r="L41" i="1"/>
  <c r="L43" i="1"/>
  <c r="L45" i="1"/>
  <c r="L72" i="1" l="1"/>
  <c r="L23" i="1"/>
  <c r="L24" i="1"/>
  <c r="L25" i="1"/>
  <c r="L27" i="1"/>
  <c r="L29" i="1"/>
  <c r="L30" i="1"/>
  <c r="L22" i="1"/>
  <c r="L17" i="1"/>
  <c r="L19" i="1"/>
  <c r="L5" i="1"/>
  <c r="L6" i="1"/>
  <c r="L7" i="1"/>
  <c r="L8" i="1"/>
  <c r="L9" i="1"/>
  <c r="L10" i="1"/>
  <c r="L11" i="1"/>
  <c r="L12" i="1"/>
  <c r="L4" i="1"/>
  <c r="L78" i="1" l="1"/>
  <c r="M72" i="1"/>
  <c r="M66" i="1"/>
  <c r="M64" i="1"/>
  <c r="L67" i="1"/>
  <c r="L68" i="1"/>
  <c r="L69" i="1"/>
  <c r="N72" i="1" l="1"/>
  <c r="N66" i="1"/>
  <c r="N64" i="1"/>
  <c r="J78" i="1" l="1"/>
  <c r="H70" i="1"/>
  <c r="K77" i="1" l="1"/>
  <c r="K78" i="1" l="1"/>
  <c r="K40" i="1" l="1"/>
  <c r="K42" i="1"/>
  <c r="K44" i="1"/>
  <c r="K46" i="1"/>
  <c r="K49" i="1"/>
  <c r="L46" i="1" l="1"/>
  <c r="N46" i="1"/>
  <c r="L49" i="1"/>
  <c r="N49" i="1"/>
  <c r="L44" i="1"/>
  <c r="N44" i="1"/>
  <c r="L42" i="1"/>
  <c r="N42" i="1"/>
  <c r="L40" i="1"/>
  <c r="N40" i="1"/>
  <c r="K61" i="1"/>
  <c r="K38" i="1"/>
  <c r="F61" i="1"/>
  <c r="L38" i="1" l="1"/>
  <c r="L61" i="1"/>
  <c r="N38" i="1"/>
  <c r="G95" i="1"/>
  <c r="F78" i="1"/>
  <c r="F95" i="1"/>
  <c r="M61" i="1" l="1"/>
  <c r="N61" i="1" s="1"/>
  <c r="F97" i="1"/>
  <c r="K3" i="1"/>
  <c r="K18" i="1"/>
  <c r="K26" i="1"/>
  <c r="K28" i="1"/>
  <c r="L28" i="1" l="1"/>
  <c r="N28" i="1"/>
  <c r="L26" i="1"/>
  <c r="N26" i="1"/>
  <c r="L18" i="1"/>
  <c r="N18" i="1"/>
  <c r="L3" i="1"/>
  <c r="N3" i="1"/>
  <c r="K16" i="1"/>
  <c r="K95" i="1"/>
  <c r="K21" i="1"/>
  <c r="J61" i="1"/>
  <c r="J38" i="1"/>
  <c r="L16" i="1" l="1"/>
  <c r="N16" i="1"/>
  <c r="L21" i="1"/>
  <c r="N21" i="1"/>
  <c r="M95" i="1"/>
  <c r="K33" i="1"/>
  <c r="J95" i="1"/>
  <c r="J3" i="1"/>
  <c r="J21" i="1"/>
  <c r="J16" i="1"/>
  <c r="G21" i="1"/>
  <c r="G72" i="1"/>
  <c r="G70" i="1"/>
  <c r="G16" i="1"/>
  <c r="G38" i="1"/>
  <c r="G61" i="1"/>
  <c r="G32" i="1"/>
  <c r="L33" i="1" l="1"/>
  <c r="L97" i="1" s="1"/>
  <c r="N95" i="1"/>
  <c r="K97" i="1"/>
  <c r="G33" i="1"/>
  <c r="G78" i="1"/>
  <c r="J33" i="1"/>
  <c r="J97" i="1" s="1"/>
  <c r="M33" i="1" l="1"/>
  <c r="N33" i="1"/>
  <c r="G97" i="1"/>
  <c r="H38" i="1"/>
  <c r="B95" i="1" l="1"/>
  <c r="B72" i="1"/>
  <c r="B78" i="1" s="1"/>
  <c r="B61" i="1"/>
  <c r="B38" i="1"/>
  <c r="D38" i="1"/>
  <c r="C38" i="1"/>
  <c r="B21" i="1"/>
  <c r="B16" i="1"/>
  <c r="C16" i="1"/>
  <c r="B8" i="1"/>
  <c r="C95" i="1"/>
  <c r="C72" i="1"/>
  <c r="C78" i="1" s="1"/>
  <c r="C61" i="1"/>
  <c r="C21" i="1"/>
  <c r="C33" i="1" l="1"/>
  <c r="C97" i="1" s="1"/>
  <c r="B33" i="1"/>
  <c r="B97" i="1" s="1"/>
  <c r="D95" i="1"/>
  <c r="D21" i="1"/>
  <c r="E61" i="1"/>
  <c r="D72" i="1"/>
  <c r="D78" i="1" s="1"/>
  <c r="D61" i="1"/>
  <c r="D19" i="1"/>
  <c r="D16" i="1" s="1"/>
  <c r="D4" i="1"/>
  <c r="D3" i="1"/>
  <c r="E6" i="1"/>
  <c r="E4" i="1"/>
  <c r="E3" i="1"/>
  <c r="D33" i="1" l="1"/>
  <c r="D97" i="1" s="1"/>
  <c r="E72" i="1"/>
  <c r="E78" i="1" s="1"/>
  <c r="H72" i="1"/>
  <c r="H78" i="1" s="1"/>
  <c r="H95" i="1"/>
  <c r="E95" i="1"/>
  <c r="E38" i="1"/>
  <c r="H61" i="1"/>
  <c r="H8" i="1"/>
  <c r="H21" i="1"/>
  <c r="E21" i="1"/>
  <c r="H16" i="1"/>
  <c r="E16" i="1"/>
  <c r="H4" i="1"/>
  <c r="H3" i="1"/>
  <c r="H6" i="1"/>
  <c r="E33" i="1" l="1"/>
  <c r="E97" i="1" s="1"/>
  <c r="E101" i="1" s="1"/>
  <c r="H33" i="1"/>
  <c r="H97" i="1" s="1"/>
  <c r="I101" i="1" s="1"/>
  <c r="I102" i="1" s="1"/>
  <c r="M77" i="1" l="1"/>
  <c r="M78" i="1"/>
  <c r="O99" i="1"/>
  <c r="N77" i="1" l="1"/>
  <c r="M97" i="1"/>
  <c r="N97" i="1" s="1"/>
  <c r="N78" i="1"/>
  <c r="D109" i="6" l="1"/>
  <c r="F109" i="6"/>
  <c r="E109" i="6"/>
  <c r="F35" i="6"/>
  <c r="E35" i="6"/>
  <c r="G3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tc={AA371A59-12CF-5F48-B395-5B2D42D9A627}</author>
    <author>tc={926177E7-F1BE-BC40-9712-8D1A3F643948}</author>
    <author>tc={8149047B-4CCC-9340-8B9B-1816DA56A587}</author>
    <author>tc={F7B2A585-7FFC-2C40-A9D6-F64235C68C24}</author>
    <author>tc={28079495-A381-FD42-B443-673F1A198AF6}</author>
    <author>tc={FB2204F1-5375-F140-9BFD-98E49B0BAA90}</author>
    <author>tc={00503C47-FE4B-8A42-ADFF-6B6603CB2A76}</author>
  </authors>
  <commentList>
    <comment ref="A5" authorId="0" shapeId="0" xr:uid="{AA371A59-12CF-5F48-B395-5B2D42D9A62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Workers Comp
Unemployment Insurance
Liability Insurance
</t>
      </text>
    </comment>
    <comment ref="C8" authorId="1" shapeId="0" xr:uid="{926177E7-F1BE-BC40-9712-8D1A3F643948}">
      <text>
        <t>[Threaded comment]
Your version of Excel allows you to read this threaded comment; however, any edits to it will get removed if the file is opened in a newer version of Excel. Learn more: https://go.microsoft.com/fwlink/?linkid=870924
Comment:
    Paid Rent with AFY 2016</t>
      </text>
    </comment>
    <comment ref="D8" authorId="2" shapeId="0" xr:uid="{8149047B-4CCC-9340-8B9B-1816DA56A587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Paid with AFY 17 Funds
</t>
      </text>
    </comment>
    <comment ref="E8" authorId="3" shapeId="0" xr:uid="{F7B2A585-7FFC-2C40-A9D6-F64235C68C2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Rent was paid with AFY 18 Dollars
</t>
      </text>
    </comment>
    <comment ref="K19" authorId="4" shapeId="0" xr:uid="{28079495-A381-FD42-B443-673F1A198AF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System Improvement RTAC budget 1,000 for MIFI’s
</t>
      </text>
    </comment>
    <comment ref="E52" authorId="5" shapeId="0" xr:uid="{FB2204F1-5375-F140-9BFD-98E49B0BAA9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Paid with AFY 18
</t>
      </text>
    </comment>
    <comment ref="D64" authorId="6" shapeId="0" xr:uid="{00503C47-FE4B-8A42-ADFF-6B6603CB2A7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Used AFY 17 Dollars
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tc={9E29D9A6-DF64-194F-A344-2CD629605F7B}</author>
  </authors>
  <commentList>
    <comment ref="A5" authorId="0" shapeId="0" xr:uid="{9E29D9A6-DF64-194F-A344-2CD629605F7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Workers Comp
Unemployment Insurance
Liability Insurance
</t>
      </text>
    </comment>
  </commentList>
</comments>
</file>

<file path=xl/sharedStrings.xml><?xml version="1.0" encoding="utf-8"?>
<sst xmlns="http://schemas.openxmlformats.org/spreadsheetml/2006/main" count="385" uniqueCount="297">
  <si>
    <t>Staff Salaries</t>
  </si>
  <si>
    <t>Benefits</t>
  </si>
  <si>
    <t>Staff Travel</t>
  </si>
  <si>
    <t>Commission Member Per Diem</t>
  </si>
  <si>
    <t>DOAS Administrative Fee</t>
  </si>
  <si>
    <t>ACCOUNT</t>
  </si>
  <si>
    <t>Approved 2016</t>
  </si>
  <si>
    <t>Approved 2017</t>
  </si>
  <si>
    <t>Approved 2018</t>
  </si>
  <si>
    <t>Approved 2019</t>
  </si>
  <si>
    <t>Rent</t>
  </si>
  <si>
    <t>Telephone</t>
  </si>
  <si>
    <t>Office Telephone and Internet</t>
  </si>
  <si>
    <t>Staff Cell and Mifi</t>
  </si>
  <si>
    <t>Website Hosting</t>
  </si>
  <si>
    <t>Website Maintenance</t>
  </si>
  <si>
    <t>The Box Cloud Storage</t>
  </si>
  <si>
    <t>Office 365</t>
  </si>
  <si>
    <t>Name Cheap</t>
  </si>
  <si>
    <t>Quickbooks</t>
  </si>
  <si>
    <t>Mulkey Outside of Contract</t>
  </si>
  <si>
    <t>Contingency</t>
  </si>
  <si>
    <t>Printing</t>
  </si>
  <si>
    <t>Office Supplies</t>
  </si>
  <si>
    <t>Postage</t>
  </si>
  <si>
    <t>Meeting Expense</t>
  </si>
  <si>
    <t>RTAC Funds</t>
  </si>
  <si>
    <t>Region 1</t>
  </si>
  <si>
    <t>Region 2</t>
  </si>
  <si>
    <t>Region 3</t>
  </si>
  <si>
    <t>Region 4</t>
  </si>
  <si>
    <t>Region 5</t>
  </si>
  <si>
    <t>Region 6</t>
  </si>
  <si>
    <t>Region 7</t>
  </si>
  <si>
    <t>Region 9</t>
  </si>
  <si>
    <t>Region 10</t>
  </si>
  <si>
    <t>ACS TQIP State Participation</t>
  </si>
  <si>
    <t>MAG</t>
  </si>
  <si>
    <t>GQIP</t>
  </si>
  <si>
    <t>Total System Development</t>
  </si>
  <si>
    <t>Nurses Education</t>
  </si>
  <si>
    <t>Warren Averett UCC Audits</t>
  </si>
  <si>
    <t>Registry</t>
  </si>
  <si>
    <t>Total Trauma Centers</t>
  </si>
  <si>
    <t>Total Budget by Fiscal Year</t>
  </si>
  <si>
    <t>EMS STAKEHOLDERS</t>
  </si>
  <si>
    <t>AVLS Maintenance</t>
  </si>
  <si>
    <t>AVLS Airtime Support</t>
  </si>
  <si>
    <t>Verizon</t>
  </si>
  <si>
    <t>Sprint</t>
  </si>
  <si>
    <t>FirstNet</t>
  </si>
  <si>
    <t>Contracts/Grants</t>
  </si>
  <si>
    <t>Total EMS Stakeholders</t>
  </si>
  <si>
    <t>Start Up Grants</t>
  </si>
  <si>
    <t>Trauma Associates of Georgia</t>
  </si>
  <si>
    <t>Saab</t>
  </si>
  <si>
    <t>Azure</t>
  </si>
  <si>
    <t>eBroselow</t>
  </si>
  <si>
    <t>RTAC MIFI</t>
  </si>
  <si>
    <t>Acutal 2019</t>
  </si>
  <si>
    <t>Paid with prior FY</t>
  </si>
  <si>
    <t>AVLS  Equipment</t>
  </si>
  <si>
    <t>SOFTWARE/IT</t>
  </si>
  <si>
    <t>State IT Service</t>
  </si>
  <si>
    <t>Warren Averett Financing Optimiization</t>
  </si>
  <si>
    <t>Pracht Study</t>
  </si>
  <si>
    <t>Ameneded FY 2019</t>
  </si>
  <si>
    <t>Injury Prevention</t>
  </si>
  <si>
    <t>Adobe</t>
  </si>
  <si>
    <t>GTC OPERATIONS</t>
  </si>
  <si>
    <t>Total GTC Operations</t>
  </si>
  <si>
    <t xml:space="preserve">SYSTEM DEVELOPMENT </t>
  </si>
  <si>
    <t xml:space="preserve">TRAUMA CENTERS </t>
  </si>
  <si>
    <t>GEORGIA TRAUMA FOUNDATION</t>
  </si>
  <si>
    <t>OEMS&amp;T</t>
  </si>
  <si>
    <t>Virtual Meeting Platform</t>
  </si>
  <si>
    <t>Region 8</t>
  </si>
  <si>
    <t>State Trauma Medical Director</t>
  </si>
  <si>
    <t>ACS System Consult (FY2022)</t>
  </si>
  <si>
    <t>Program Management-Tim Boone</t>
  </si>
  <si>
    <t xml:space="preserve">Initiative </t>
  </si>
  <si>
    <t>Cost</t>
  </si>
  <si>
    <t>TQIP &amp; ACS Consultative Support</t>
  </si>
  <si>
    <t>AMENDED FUNDS</t>
  </si>
  <si>
    <t>VARIANCE</t>
  </si>
  <si>
    <t>PROPOSED FY 2021</t>
  </si>
  <si>
    <t xml:space="preserve">TCAA </t>
  </si>
  <si>
    <t>PROPOSED FY 2021 WITH 14 % REDUCTION</t>
  </si>
  <si>
    <t xml:space="preserve">% OF REDUCTION </t>
  </si>
  <si>
    <t>$  OF REDUCTION</t>
  </si>
  <si>
    <t>FY 2020 FUNDS TO REPURPOSE</t>
  </si>
  <si>
    <t>EMS EQUIPMENT GRANT ROUND 1</t>
  </si>
  <si>
    <t>EMS EQUIPMENT GRANT ROUND 2</t>
  </si>
  <si>
    <t>TOTAL FY 2020 FUNDS TO REPURPOSE</t>
  </si>
  <si>
    <t>ARCHBOLD</t>
  </si>
  <si>
    <t>.</t>
  </si>
  <si>
    <t>REMAINING TO REPURPOSE</t>
  </si>
  <si>
    <t>FY 2020 OEMST TRUE UP</t>
  </si>
  <si>
    <t>Super Speeder Amended Funds</t>
  </si>
  <si>
    <t>Fireworks Excise Tax</t>
  </si>
  <si>
    <t xml:space="preserve">Archbold TQIP </t>
  </si>
  <si>
    <t>TCAA</t>
  </si>
  <si>
    <t>PAY WITH REPURPOSE FY 2020</t>
  </si>
  <si>
    <t>FY 2021 TIM BOONE AVLS SUPPORT</t>
  </si>
  <si>
    <t>PROPOSED FY 2021 WITH 11 % REDUCTION</t>
  </si>
  <si>
    <t>Amended FY 2020</t>
  </si>
  <si>
    <t>Actual FY 2020</t>
  </si>
  <si>
    <t>Approved FY 2020</t>
  </si>
  <si>
    <t>Rural Trauma Support Level III</t>
  </si>
  <si>
    <t>Rural Trauma Support Level IV</t>
  </si>
  <si>
    <t>Funding Expansion</t>
  </si>
  <si>
    <t>System Expansion</t>
  </si>
  <si>
    <t>Five Things Project</t>
  </si>
  <si>
    <t>Trauma Center Funds</t>
  </si>
  <si>
    <t>Emailed Will</t>
  </si>
  <si>
    <t>Notes</t>
  </si>
  <si>
    <t>TOTAL AFY 2021 FUNDS</t>
  </si>
  <si>
    <t>Staff Education and  Travel</t>
  </si>
  <si>
    <t>Georgia GovHub/GTA</t>
  </si>
  <si>
    <t>Description of System Enhancements</t>
  </si>
  <si>
    <t xml:space="preserve">Total </t>
  </si>
  <si>
    <t>FY 2020 TC Distribution before  4% cuts</t>
  </si>
  <si>
    <t>Less FY 2021 TC Distribution - approved/final</t>
  </si>
  <si>
    <t>Equals AFY 21 increase readiness funding ask</t>
  </si>
  <si>
    <t>Less FY 2021 EMS Distribution</t>
  </si>
  <si>
    <t xml:space="preserve">O.C.G.A Reference </t>
  </si>
  <si>
    <t xml:space="preserve">$5,714,933 is average of gap between FY's 18, 19 &amp; 20 compared to FY 21.  </t>
  </si>
  <si>
    <t xml:space="preserve">$1,399,768 is average </t>
  </si>
  <si>
    <t>80% of 144,522</t>
  </si>
  <si>
    <t>20% of 144,522</t>
  </si>
  <si>
    <t>Increase Funds to Reflect Fireworks Excise Tax Revenue</t>
  </si>
  <si>
    <t>Business Plus Version</t>
  </si>
  <si>
    <t>Georgia Trauma Care Network Commission AFY2023 Proposed Budget</t>
  </si>
  <si>
    <t>Proposed AFY2023 Budget</t>
  </si>
  <si>
    <t xml:space="preserve">AFY2023 HB 80 - Governor's Recommendation </t>
  </si>
  <si>
    <t>EMS</t>
  </si>
  <si>
    <t>Trauma Centers</t>
  </si>
  <si>
    <t>Increase Funds to Reflect 2022 Super Speeder Collections &amp; Fees</t>
  </si>
  <si>
    <t>Base Budget FY 2023</t>
  </si>
  <si>
    <t>Trauma Care Network Trust Funds to increase funds to reflect FY 2021 Super Speeder Collections pursuant to HB 511 (2021 Session)</t>
  </si>
  <si>
    <t>Super Speeder Funds to increase Funds to reflect FY 2021 Reinstatement Fees</t>
  </si>
  <si>
    <t>TOTAL FY 2023 FUNDS</t>
  </si>
  <si>
    <t>Cost of living adjustments</t>
  </si>
  <si>
    <t xml:space="preserve">Trauma System Quality &amp; Accountability  </t>
  </si>
  <si>
    <t>Trauma Registry Web-hosting for all Levels III and IV trauma centers</t>
  </si>
  <si>
    <t xml:space="preserve"> O.C.G.A. § 31.11.102.14</t>
  </si>
  <si>
    <t>Increase readiness funding for the 28 funded trauma &amp; burn centers to offset base budget reductions</t>
  </si>
  <si>
    <t xml:space="preserve"> O.C.G.A. § 31.11.102.3</t>
  </si>
  <si>
    <t xml:space="preserve">Provide trauma readiness &amp; registry funding support for 5 additional trauma centers:  three level IIIs, one level II and one pediatric level II </t>
  </si>
  <si>
    <t>O.C.G.A. § 31.11.102.3</t>
  </si>
  <si>
    <t xml:space="preserve">911 response ambulance equipment grants, pre-hospital provider and leader training and distribution of ambulance sanitizing equipment &amp; supplies </t>
  </si>
  <si>
    <t>O.C.G.A. § 31.11.102.7</t>
  </si>
  <si>
    <t>Media/Graphic Designer</t>
  </si>
  <si>
    <t>ESO</t>
  </si>
  <si>
    <t>Arbormetrix</t>
  </si>
  <si>
    <t>Covered in the AFY 2021</t>
  </si>
  <si>
    <t>Awaiting DPH/OEMST NHTSA EMS System Assessment</t>
  </si>
  <si>
    <t>Proposed FY 2023 Total Budget</t>
  </si>
  <si>
    <t>EMS Equipment Grant</t>
  </si>
  <si>
    <t>TQIP Participation for Level III</t>
  </si>
  <si>
    <t>One-Time Funding for Unfunded Centers</t>
  </si>
  <si>
    <t>Trauma Registry Web-Hosting Level III and IV</t>
  </si>
  <si>
    <t xml:space="preserve">Supplemental Registry Funding to Support Web-Hositing </t>
  </si>
  <si>
    <t>Total Trauma Center FY 2023 Budget</t>
  </si>
  <si>
    <t>Proposed FY 2023 Trauma Center System Enhancements</t>
  </si>
  <si>
    <t>Trauma Center Enhancement Cost</t>
  </si>
  <si>
    <t>EMS Enhancement Cost</t>
  </si>
  <si>
    <t>Remaining FY 2023 Trauma Center Funds</t>
  </si>
  <si>
    <t>Proposed FY 2023 EMS System Enhancements</t>
  </si>
  <si>
    <t>Total EMS FY 2023 Budget</t>
  </si>
  <si>
    <t>Remaining FY 2023 EMS Funds</t>
  </si>
  <si>
    <t>Office Supplies and Equipment</t>
  </si>
  <si>
    <t>Staff Cell, Mifi, and Equipment</t>
  </si>
  <si>
    <t>Trauma Center Readiness, Registry, and Uncompensated Care</t>
  </si>
  <si>
    <t xml:space="preserve">Optimal Course </t>
  </si>
  <si>
    <t>Level III Level IV PRQ RW Package</t>
  </si>
  <si>
    <t>Level III Level IV Outcome Package</t>
  </si>
  <si>
    <t xml:space="preserve">Covered in the AFY 2021 </t>
  </si>
  <si>
    <t xml:space="preserve">Additional GQIP Scholar </t>
  </si>
  <si>
    <t>FY 2024</t>
  </si>
  <si>
    <t>PSO Lawyer</t>
  </si>
  <si>
    <t>Trauma Research Grant True up</t>
  </si>
  <si>
    <t>Summer Meeting</t>
  </si>
  <si>
    <t>Winter Meeting</t>
  </si>
  <si>
    <t>Phoebe Putney</t>
  </si>
  <si>
    <t>Children's Hosptial-Augusta</t>
  </si>
  <si>
    <t>Doctors of Augusta</t>
  </si>
  <si>
    <t>Wellstar Cobb Hosptial</t>
  </si>
  <si>
    <t>Fairview Park</t>
  </si>
  <si>
    <t>Catersville Medical Center</t>
  </si>
  <si>
    <t>Reserves</t>
  </si>
  <si>
    <t>Department of Law</t>
  </si>
  <si>
    <t>$80,000 total $10,000 on FY 2022 Purchase Order</t>
  </si>
  <si>
    <t>$5000 to $6,000 a month</t>
  </si>
  <si>
    <t>Peer Review Retainer Lawyer</t>
  </si>
  <si>
    <t>FY 2023 Reallocation</t>
  </si>
  <si>
    <t>Registry Education Support</t>
  </si>
  <si>
    <t>Actual Expenses</t>
  </si>
  <si>
    <t xml:space="preserve">Percent of Actual Expenses </t>
  </si>
  <si>
    <t>Remaining FY 2024 Funds $</t>
  </si>
  <si>
    <t>TOTAL FY 2024 Meeting Budget</t>
  </si>
  <si>
    <t>ICD-10 $15,000 and AIS $18,750</t>
  </si>
  <si>
    <t>GTF Additional Request</t>
  </si>
  <si>
    <t>Pract Study</t>
  </si>
  <si>
    <t>Warren Averett Readiness Costs Analysis</t>
  </si>
  <si>
    <t>Office Expenses</t>
  </si>
  <si>
    <t>Misc Software</t>
  </si>
  <si>
    <t>Emory</t>
  </si>
  <si>
    <t>TQIP Medical Director</t>
  </si>
  <si>
    <t>TQIP Collaborative Fees</t>
  </si>
  <si>
    <t>(ACS)</t>
  </si>
  <si>
    <t>NSQIP Medical Director Salary</t>
  </si>
  <si>
    <t>Research Resident Salary</t>
  </si>
  <si>
    <t>NSQIP Medical Director Travel</t>
  </si>
  <si>
    <t>Research Resident Travel</t>
  </si>
  <si>
    <t>Supplies</t>
  </si>
  <si>
    <t>ESO Central Site</t>
  </si>
  <si>
    <t xml:space="preserve">FY 2024 Proposed/Assumptions Notes </t>
  </si>
  <si>
    <t>Total FY 2024 Meeting Budget Remaining</t>
  </si>
  <si>
    <t>Annual System Membership Subscription</t>
  </si>
  <si>
    <t>Completed</t>
  </si>
  <si>
    <t>INJURY PREVENTION</t>
  </si>
  <si>
    <t>DocuSign</t>
  </si>
  <si>
    <t>NameCheap</t>
  </si>
  <si>
    <t>MulkeyMedia RTAC Website</t>
  </si>
  <si>
    <t>quantify the style of meeting Calloway $40,000/Cartersville $10,000</t>
  </si>
  <si>
    <t>Office 365.gov</t>
  </si>
  <si>
    <t>Office 365.org</t>
  </si>
  <si>
    <t>Graphic Design Annual Report and Placeholder Video Production</t>
  </si>
  <si>
    <t>Additional Meeting Expenses</t>
  </si>
  <si>
    <t>ACS Disccussion, etc</t>
  </si>
  <si>
    <t>FY 2025 Deposits</t>
  </si>
  <si>
    <t xml:space="preserve">Madison $650/month; $7,800 annually </t>
  </si>
  <si>
    <t>Mileage, Per Diem, Hotel, Registration Fees</t>
  </si>
  <si>
    <t>Increased from FY 2023 Based on Number of Commission Members Submitting Per Diem Expenses</t>
  </si>
  <si>
    <t>Commission Meeting Packets and Annual Reports</t>
  </si>
  <si>
    <t xml:space="preserve">Additional Funding for Stakeholder Meetings to Address ACS Consult Visit Reccommendations </t>
  </si>
  <si>
    <t>Spectrum ($2,000/year); Potential Transition to AT&amp;T Government Server ($16,000/year)</t>
  </si>
  <si>
    <t>MulkeyMedia Office 365 Support (Transition to Office 365 .GOV - Line 29)</t>
  </si>
  <si>
    <t>Office 365 G5 GCC (Transition to Office 365 .GOV)</t>
  </si>
  <si>
    <t>Maintenance of GTCNC.ORG Domain Name for RTAC Website</t>
  </si>
  <si>
    <t xml:space="preserve">$200/month </t>
  </si>
  <si>
    <t>$350/month</t>
  </si>
  <si>
    <t>RTAC.GTCNC.ORG Website Maitenance</t>
  </si>
  <si>
    <t>RTAC.GTCNC.ORG Domain Name</t>
  </si>
  <si>
    <t>Bulger Research Group (UW) Prehospital Research Consultant</t>
  </si>
  <si>
    <t>Legal-Peer Review P&amp;P Development (Continuation)</t>
  </si>
  <si>
    <t>Stop the Bleed Coordinator (Contract)</t>
  </si>
  <si>
    <t xml:space="preserve">Includes Consultant Fee Plus Travel </t>
  </si>
  <si>
    <t xml:space="preserve">Auto-Renewal Grant, Year 1 of 3 (FY 2024, 2025 &amp; 2026) </t>
  </si>
  <si>
    <t>UGA Time to Definitive Care/System Economic Impact</t>
  </si>
  <si>
    <t xml:space="preserve">Retainer </t>
  </si>
  <si>
    <t>Moved to EMS Stakeholder Budget Area</t>
  </si>
  <si>
    <t>Included in GQIP Budget ($15,000)</t>
  </si>
  <si>
    <t>Placeholder for FY 2026</t>
  </si>
  <si>
    <t xml:space="preserve"> Includes TQIP &amp; NSQIP Medical Directors,  Research Resident, Associated Travel, ESO Central Site Annual Fee &amp; ACS TQIP State Participation Annual Fee</t>
  </si>
  <si>
    <t>Metro Atlanta EMS Conference</t>
  </si>
  <si>
    <t xml:space="preserve">EMS Education </t>
  </si>
  <si>
    <t>Annual Contractor Fee, Including Travel</t>
  </si>
  <si>
    <t>Placeholder for FY 2025</t>
  </si>
  <si>
    <t>AAAM (AIS Course), Pomphrey (ICD-10 Coding, Registrar Essentials Course) , ATS (Trauma Registrar Course, ICD-10 Coding Course), KJ Consulting (Intro to ICD-10), Rural TOPIC</t>
  </si>
  <si>
    <t>Moved to Trauma Centers Budget Area</t>
  </si>
  <si>
    <t>Budget Breakdown</t>
  </si>
  <si>
    <t>Firework Revenue</t>
  </si>
  <si>
    <t>Total Base Budget</t>
  </si>
  <si>
    <t>Total Budget</t>
  </si>
  <si>
    <t xml:space="preserve">Total FY Budget </t>
  </si>
  <si>
    <t>Total Operations + Total System Development</t>
  </si>
  <si>
    <t>Remaining Balance to Allocate</t>
  </si>
  <si>
    <t>(report writer for Level III's use existing PO for Central Site)</t>
  </si>
  <si>
    <t>State Trauma Medical Director Consultant (Kaufman)</t>
  </si>
  <si>
    <t>FY 2024 Approved</t>
  </si>
  <si>
    <t>FY 2024 Actual/Projected through June 30</t>
  </si>
  <si>
    <t>FY 2025</t>
  </si>
  <si>
    <t>Projected FY 2025</t>
  </si>
  <si>
    <r>
      <t xml:space="preserve">67.614% (FY 2024 Fringe Rate, FY 2024 Rate Published in June);  </t>
    </r>
    <r>
      <rPr>
        <sz val="18"/>
        <color rgb="FFFF0000"/>
        <rFont val="Calibri (Body)"/>
      </rPr>
      <t>ALCP $3,731; Employee's Retireent System Employer Contribution Rate Increase $30,404</t>
    </r>
  </si>
  <si>
    <t>Augusta for FY 2025?</t>
  </si>
  <si>
    <t>PTSF</t>
  </si>
  <si>
    <t>TOTAL FY 2025 Contingency</t>
  </si>
  <si>
    <t>Total FY 2025 Contingency Remaining</t>
  </si>
  <si>
    <t xml:space="preserve">FY 2024 Fee Structure </t>
  </si>
  <si>
    <t>Water Service $33 (monthly); Office Cleaning $75 (monthly)</t>
  </si>
  <si>
    <t>Zoom $1,589.80 Gina Zoom $149.90</t>
  </si>
  <si>
    <t>Staff Mobile Service x 5 &amp; MIFI (+ 1)</t>
  </si>
  <si>
    <t>30% of operating budget less operating contingency</t>
  </si>
  <si>
    <t xml:space="preserve">MAG </t>
  </si>
  <si>
    <t xml:space="preserve">Reinstitution of System Planner Role; Cost of Living Adjustment 4% </t>
  </si>
  <si>
    <t>FY 2025 GQIP Budget</t>
  </si>
  <si>
    <t>FY 2025 Budgeted Funds not spent</t>
  </si>
  <si>
    <t>FY 2025 Plan for Reallocated Dollars</t>
  </si>
  <si>
    <t>Remove for FY 2025?</t>
  </si>
  <si>
    <t xml:space="preserve">GEORGIA TRAUMA FOUNDATION </t>
  </si>
  <si>
    <t>3% of Trust Fund</t>
  </si>
  <si>
    <t>Governor's Recommendation</t>
  </si>
  <si>
    <t>Registry Funding for Potential Trauma Centers</t>
  </si>
  <si>
    <t>Placeholder for FY 2025 $200,000</t>
  </si>
  <si>
    <r>
      <t xml:space="preserve">Apple $119.88/$9.99month; Icon Finder $108/$9.00month; Survey Monkey $468 annually </t>
    </r>
    <r>
      <rPr>
        <sz val="18"/>
        <color rgb="FFFF0000"/>
        <rFont val="Calibri"/>
        <family val="2"/>
        <scheme val="minor"/>
      </rPr>
      <t>(</t>
    </r>
    <r>
      <rPr>
        <sz val="18"/>
        <color rgb="FFFF0000"/>
        <rFont val="Calibri (Body)"/>
      </rPr>
      <t>Basecamp $1200 Engagifi $10,000 Grammarly $720 Smartsheet $1980 (5 users) DocUSign $2086.21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</si>
</sst>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28"/>
      <color rgb="FF000000"/>
      <name val="Calibri"/>
      <family val="2"/>
    </font>
    <font>
      <sz val="22"/>
      <color rgb="FF000000"/>
      <name val="Calibri"/>
      <family val="2"/>
    </font>
    <font>
      <b/>
      <sz val="22"/>
      <color rgb="FF000000"/>
      <name val="Calibri"/>
      <family val="2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rgb="FFFF0000"/>
      <name val="Calibri"/>
      <family val="2"/>
      <scheme val="minor"/>
    </font>
    <font>
      <sz val="22"/>
      <color rgb="FFFF0000"/>
      <name val="Calibri"/>
      <family val="2"/>
      <scheme val="minor"/>
    </font>
    <font>
      <sz val="24"/>
      <color theme="1"/>
      <name val="Calibri (Body)"/>
    </font>
    <font>
      <sz val="16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 (Body)"/>
    </font>
    <font>
      <b/>
      <sz val="24"/>
      <color theme="0"/>
      <name val="Arial"/>
      <family val="2"/>
    </font>
    <font>
      <b/>
      <sz val="20"/>
      <color rgb="FF000000"/>
      <name val="Arial"/>
      <family val="2"/>
    </font>
    <font>
      <sz val="20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20"/>
      <color rgb="FFFF0000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sz val="20"/>
      <color rgb="FFFF0000"/>
      <name val="Arial"/>
      <family val="2"/>
    </font>
    <font>
      <sz val="1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20"/>
      <color theme="1"/>
      <name val="Arial"/>
      <family val="2"/>
    </font>
    <font>
      <b/>
      <i/>
      <sz val="16"/>
      <color theme="1"/>
      <name val="Calibri"/>
      <family val="2"/>
      <scheme val="minor"/>
    </font>
    <font>
      <sz val="14"/>
      <color theme="1"/>
      <name val="Calibri (Body)"/>
    </font>
    <font>
      <sz val="22"/>
      <color theme="1"/>
      <name val="Calibri"/>
      <family val="2"/>
      <scheme val="minor"/>
    </font>
    <font>
      <b/>
      <sz val="22"/>
      <color rgb="FF000000"/>
      <name val="Arial"/>
      <family val="2"/>
    </font>
    <font>
      <sz val="22"/>
      <color rgb="FF00000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rgb="FFFF0000"/>
      <name val="Calibri (Body)"/>
    </font>
    <font>
      <i/>
      <sz val="18"/>
      <color rgb="FF00206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i/>
      <sz val="2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4.9989318521683403E-2"/>
        <bgColor rgb="FF000000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1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44" fontId="5" fillId="3" borderId="6" xfId="0" applyNumberFormat="1" applyFont="1" applyFill="1" applyBorder="1" applyAlignment="1">
      <alignment horizontal="center" wrapText="1"/>
    </xf>
    <xf numFmtId="44" fontId="5" fillId="3" borderId="6" xfId="0" applyNumberFormat="1" applyFont="1" applyFill="1" applyBorder="1" applyAlignment="1">
      <alignment horizontal="center" vertical="center" wrapText="1"/>
    </xf>
    <xf numFmtId="44" fontId="5" fillId="3" borderId="2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3" borderId="3" xfId="0" applyFont="1" applyFill="1" applyBorder="1"/>
    <xf numFmtId="44" fontId="4" fillId="3" borderId="4" xfId="0" applyNumberFormat="1" applyFont="1" applyFill="1" applyBorder="1"/>
    <xf numFmtId="44" fontId="4" fillId="3" borderId="4" xfId="0" applyNumberFormat="1" applyFont="1" applyFill="1" applyBorder="1" applyAlignment="1">
      <alignment vertical="center"/>
    </xf>
    <xf numFmtId="44" fontId="4" fillId="3" borderId="22" xfId="0" applyNumberFormat="1" applyFont="1" applyFill="1" applyBorder="1"/>
    <xf numFmtId="0" fontId="4" fillId="0" borderId="0" xfId="0" applyFont="1"/>
    <xf numFmtId="0" fontId="4" fillId="3" borderId="2" xfId="0" applyFont="1" applyFill="1" applyBorder="1"/>
    <xf numFmtId="44" fontId="4" fillId="3" borderId="1" xfId="0" applyNumberFormat="1" applyFont="1" applyFill="1" applyBorder="1"/>
    <xf numFmtId="44" fontId="4" fillId="3" borderId="1" xfId="0" applyNumberFormat="1" applyFont="1" applyFill="1" applyBorder="1" applyAlignment="1">
      <alignment vertical="center"/>
    </xf>
    <xf numFmtId="44" fontId="4" fillId="3" borderId="17" xfId="0" applyNumberFormat="1" applyFont="1" applyFill="1" applyBorder="1"/>
    <xf numFmtId="0" fontId="4" fillId="3" borderId="7" xfId="0" applyFont="1" applyFill="1" applyBorder="1"/>
    <xf numFmtId="44" fontId="4" fillId="3" borderId="8" xfId="0" applyNumberFormat="1" applyFont="1" applyFill="1" applyBorder="1"/>
    <xf numFmtId="44" fontId="4" fillId="3" borderId="8" xfId="0" applyNumberFormat="1" applyFont="1" applyFill="1" applyBorder="1" applyAlignment="1">
      <alignment vertical="center"/>
    </xf>
    <xf numFmtId="44" fontId="4" fillId="3" borderId="23" xfId="0" applyNumberFormat="1" applyFont="1" applyFill="1" applyBorder="1"/>
    <xf numFmtId="0" fontId="6" fillId="3" borderId="5" xfId="0" applyFont="1" applyFill="1" applyBorder="1"/>
    <xf numFmtId="44" fontId="6" fillId="3" borderId="6" xfId="0" applyNumberFormat="1" applyFont="1" applyFill="1" applyBorder="1"/>
    <xf numFmtId="44" fontId="6" fillId="3" borderId="21" xfId="0" applyNumberFormat="1" applyFont="1" applyFill="1" applyBorder="1"/>
    <xf numFmtId="0" fontId="6" fillId="0" borderId="0" xfId="0" applyFont="1"/>
    <xf numFmtId="0" fontId="4" fillId="3" borderId="3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6" fillId="2" borderId="12" xfId="0" applyFont="1" applyFill="1" applyBorder="1"/>
    <xf numFmtId="44" fontId="6" fillId="2" borderId="13" xfId="0" applyNumberFormat="1" applyFont="1" applyFill="1" applyBorder="1"/>
    <xf numFmtId="44" fontId="6" fillId="2" borderId="13" xfId="1" applyFont="1" applyFill="1" applyBorder="1"/>
    <xf numFmtId="44" fontId="6" fillId="2" borderId="13" xfId="1" applyFont="1" applyFill="1" applyBorder="1" applyAlignment="1">
      <alignment vertical="center"/>
    </xf>
    <xf numFmtId="0" fontId="4" fillId="2" borderId="18" xfId="0" applyFont="1" applyFill="1" applyBorder="1"/>
    <xf numFmtId="44" fontId="4" fillId="2" borderId="19" xfId="0" applyNumberFormat="1" applyFont="1" applyFill="1" applyBorder="1"/>
    <xf numFmtId="44" fontId="4" fillId="2" borderId="19" xfId="0" applyNumberFormat="1" applyFont="1" applyFill="1" applyBorder="1" applyAlignment="1">
      <alignment vertical="center"/>
    </xf>
    <xf numFmtId="0" fontId="7" fillId="0" borderId="0" xfId="0" applyFont="1"/>
    <xf numFmtId="0" fontId="3" fillId="6" borderId="9" xfId="0" applyFont="1" applyFill="1" applyBorder="1" applyAlignment="1">
      <alignment horizontal="center"/>
    </xf>
    <xf numFmtId="44" fontId="4" fillId="6" borderId="10" xfId="0" applyNumberFormat="1" applyFont="1" applyFill="1" applyBorder="1"/>
    <xf numFmtId="44" fontId="4" fillId="6" borderId="10" xfId="0" applyNumberFormat="1" applyFont="1" applyFill="1" applyBorder="1" applyAlignment="1">
      <alignment vertical="center"/>
    </xf>
    <xf numFmtId="44" fontId="4" fillId="6" borderId="24" xfId="0" applyNumberFormat="1" applyFont="1" applyFill="1" applyBorder="1"/>
    <xf numFmtId="0" fontId="6" fillId="6" borderId="5" xfId="0" applyFont="1" applyFill="1" applyBorder="1" applyAlignment="1">
      <alignment horizontal="left"/>
    </xf>
    <xf numFmtId="44" fontId="6" fillId="6" borderId="6" xfId="0" applyNumberFormat="1" applyFont="1" applyFill="1" applyBorder="1"/>
    <xf numFmtId="44" fontId="6" fillId="6" borderId="6" xfId="0" applyNumberFormat="1" applyFont="1" applyFill="1" applyBorder="1" applyAlignment="1">
      <alignment vertical="center"/>
    </xf>
    <xf numFmtId="44" fontId="6" fillId="6" borderId="21" xfId="0" applyNumberFormat="1" applyFont="1" applyFill="1" applyBorder="1"/>
    <xf numFmtId="0" fontId="4" fillId="6" borderId="3" xfId="0" applyFont="1" applyFill="1" applyBorder="1" applyAlignment="1">
      <alignment horizontal="right"/>
    </xf>
    <xf numFmtId="44" fontId="4" fillId="6" borderId="4" xfId="0" applyNumberFormat="1" applyFont="1" applyFill="1" applyBorder="1"/>
    <xf numFmtId="44" fontId="4" fillId="6" borderId="4" xfId="0" applyNumberFormat="1" applyFont="1" applyFill="1" applyBorder="1" applyAlignment="1">
      <alignment vertical="center"/>
    </xf>
    <xf numFmtId="44" fontId="4" fillId="6" borderId="22" xfId="0" applyNumberFormat="1" applyFont="1" applyFill="1" applyBorder="1"/>
    <xf numFmtId="0" fontId="4" fillId="6" borderId="2" xfId="0" applyFont="1" applyFill="1" applyBorder="1" applyAlignment="1">
      <alignment horizontal="right"/>
    </xf>
    <xf numFmtId="44" fontId="4" fillId="6" borderId="1" xfId="0" applyNumberFormat="1" applyFont="1" applyFill="1" applyBorder="1"/>
    <xf numFmtId="44" fontId="4" fillId="6" borderId="1" xfId="0" applyNumberFormat="1" applyFont="1" applyFill="1" applyBorder="1" applyAlignment="1">
      <alignment vertical="center"/>
    </xf>
    <xf numFmtId="44" fontId="4" fillId="6" borderId="17" xfId="0" applyNumberFormat="1" applyFont="1" applyFill="1" applyBorder="1"/>
    <xf numFmtId="44" fontId="4" fillId="6" borderId="0" xfId="0" applyNumberFormat="1" applyFont="1" applyFill="1"/>
    <xf numFmtId="0" fontId="4" fillId="6" borderId="0" xfId="0" applyFont="1" applyFill="1" applyAlignment="1">
      <alignment vertical="center"/>
    </xf>
    <xf numFmtId="0" fontId="4" fillId="6" borderId="2" xfId="0" applyFont="1" applyFill="1" applyBorder="1"/>
    <xf numFmtId="44" fontId="4" fillId="6" borderId="17" xfId="0" applyNumberFormat="1" applyFont="1" applyFill="1" applyBorder="1" applyAlignment="1">
      <alignment vertical="center"/>
    </xf>
    <xf numFmtId="0" fontId="4" fillId="6" borderId="7" xfId="0" applyFont="1" applyFill="1" applyBorder="1"/>
    <xf numFmtId="44" fontId="4" fillId="6" borderId="8" xfId="0" applyNumberFormat="1" applyFont="1" applyFill="1" applyBorder="1"/>
    <xf numFmtId="44" fontId="4" fillId="6" borderId="23" xfId="0" applyNumberFormat="1" applyFont="1" applyFill="1" applyBorder="1"/>
    <xf numFmtId="44" fontId="4" fillId="6" borderId="23" xfId="0" applyNumberFormat="1" applyFont="1" applyFill="1" applyBorder="1" applyAlignment="1">
      <alignment vertical="center"/>
    </xf>
    <xf numFmtId="44" fontId="6" fillId="2" borderId="13" xfId="0" applyNumberFormat="1" applyFont="1" applyFill="1" applyBorder="1" applyAlignment="1">
      <alignment vertical="center"/>
    </xf>
    <xf numFmtId="0" fontId="5" fillId="0" borderId="0" xfId="0" applyFont="1"/>
    <xf numFmtId="0" fontId="3" fillId="0" borderId="0" xfId="0" applyFont="1"/>
    <xf numFmtId="0" fontId="5" fillId="2" borderId="12" xfId="0" applyFont="1" applyFill="1" applyBorder="1" applyAlignment="1">
      <alignment horizontal="center" vertical="center"/>
    </xf>
    <xf numFmtId="44" fontId="5" fillId="2" borderId="13" xfId="0" applyNumberFormat="1" applyFont="1" applyFill="1" applyBorder="1"/>
    <xf numFmtId="44" fontId="5" fillId="2" borderId="13" xfId="0" applyNumberFormat="1" applyFont="1" applyFill="1" applyBorder="1" applyAlignment="1">
      <alignment vertical="center"/>
    </xf>
    <xf numFmtId="0" fontId="4" fillId="5" borderId="3" xfId="0" applyFont="1" applyFill="1" applyBorder="1" applyAlignment="1">
      <alignment horizontal="left" vertical="center"/>
    </xf>
    <xf numFmtId="44" fontId="4" fillId="5" borderId="4" xfId="0" applyNumberFormat="1" applyFont="1" applyFill="1" applyBorder="1"/>
    <xf numFmtId="44" fontId="4" fillId="5" borderId="4" xfId="0" applyNumberFormat="1" applyFont="1" applyFill="1" applyBorder="1" applyAlignment="1">
      <alignment vertical="center"/>
    </xf>
    <xf numFmtId="44" fontId="4" fillId="5" borderId="22" xfId="0" applyNumberFormat="1" applyFont="1" applyFill="1" applyBorder="1"/>
    <xf numFmtId="44" fontId="3" fillId="5" borderId="22" xfId="0" applyNumberFormat="1" applyFont="1" applyFill="1" applyBorder="1"/>
    <xf numFmtId="44" fontId="4" fillId="5" borderId="8" xfId="0" applyNumberFormat="1" applyFont="1" applyFill="1" applyBorder="1"/>
    <xf numFmtId="44" fontId="4" fillId="5" borderId="8" xfId="0" applyNumberFormat="1" applyFont="1" applyFill="1" applyBorder="1" applyAlignment="1">
      <alignment vertical="center"/>
    </xf>
    <xf numFmtId="44" fontId="4" fillId="5" borderId="23" xfId="0" applyNumberFormat="1" applyFont="1" applyFill="1" applyBorder="1"/>
    <xf numFmtId="44" fontId="6" fillId="5" borderId="6" xfId="0" applyNumberFormat="1" applyFont="1" applyFill="1" applyBorder="1"/>
    <xf numFmtId="0" fontId="4" fillId="5" borderId="3" xfId="0" applyFont="1" applyFill="1" applyBorder="1" applyAlignment="1">
      <alignment horizontal="right"/>
    </xf>
    <xf numFmtId="0" fontId="4" fillId="5" borderId="2" xfId="0" applyFont="1" applyFill="1" applyBorder="1" applyAlignment="1">
      <alignment horizontal="right"/>
    </xf>
    <xf numFmtId="44" fontId="4" fillId="5" borderId="1" xfId="0" applyNumberFormat="1" applyFont="1" applyFill="1" applyBorder="1"/>
    <xf numFmtId="44" fontId="4" fillId="5" borderId="1" xfId="0" applyNumberFormat="1" applyFont="1" applyFill="1" applyBorder="1" applyAlignment="1">
      <alignment vertical="center"/>
    </xf>
    <xf numFmtId="44" fontId="4" fillId="5" borderId="17" xfId="0" applyNumberFormat="1" applyFont="1" applyFill="1" applyBorder="1"/>
    <xf numFmtId="0" fontId="4" fillId="5" borderId="2" xfId="0" applyFont="1" applyFill="1" applyBorder="1" applyAlignment="1">
      <alignment horizontal="right" vertical="center"/>
    </xf>
    <xf numFmtId="44" fontId="3" fillId="5" borderId="17" xfId="0" applyNumberFormat="1" applyFont="1" applyFill="1" applyBorder="1"/>
    <xf numFmtId="44" fontId="3" fillId="5" borderId="1" xfId="0" applyNumberFormat="1" applyFont="1" applyFill="1" applyBorder="1"/>
    <xf numFmtId="0" fontId="4" fillId="2" borderId="18" xfId="0" applyFont="1" applyFill="1" applyBorder="1" applyAlignment="1">
      <alignment horizontal="right"/>
    </xf>
    <xf numFmtId="44" fontId="3" fillId="2" borderId="19" xfId="0" applyNumberFormat="1" applyFont="1" applyFill="1" applyBorder="1"/>
    <xf numFmtId="0" fontId="8" fillId="0" borderId="0" xfId="0" applyFont="1"/>
    <xf numFmtId="0" fontId="4" fillId="4" borderId="3" xfId="0" applyFont="1" applyFill="1" applyBorder="1"/>
    <xf numFmtId="44" fontId="4" fillId="4" borderId="4" xfId="0" applyNumberFormat="1" applyFont="1" applyFill="1" applyBorder="1"/>
    <xf numFmtId="44" fontId="4" fillId="4" borderId="4" xfId="0" applyNumberFormat="1" applyFont="1" applyFill="1" applyBorder="1" applyAlignment="1">
      <alignment vertical="center"/>
    </xf>
    <xf numFmtId="44" fontId="4" fillId="4" borderId="22" xfId="0" applyNumberFormat="1" applyFont="1" applyFill="1" applyBorder="1"/>
    <xf numFmtId="0" fontId="4" fillId="4" borderId="2" xfId="0" applyFont="1" applyFill="1" applyBorder="1"/>
    <xf numFmtId="44" fontId="4" fillId="4" borderId="1" xfId="0" applyNumberFormat="1" applyFont="1" applyFill="1" applyBorder="1"/>
    <xf numFmtId="44" fontId="4" fillId="4" borderId="1" xfId="0" applyNumberFormat="1" applyFont="1" applyFill="1" applyBorder="1" applyAlignment="1">
      <alignment vertical="center"/>
    </xf>
    <xf numFmtId="44" fontId="4" fillId="4" borderId="17" xfId="0" applyNumberFormat="1" applyFont="1" applyFill="1" applyBorder="1"/>
    <xf numFmtId="0" fontId="4" fillId="4" borderId="7" xfId="0" applyFont="1" applyFill="1" applyBorder="1"/>
    <xf numFmtId="44" fontId="4" fillId="4" borderId="8" xfId="0" applyNumberFormat="1" applyFont="1" applyFill="1" applyBorder="1"/>
    <xf numFmtId="44" fontId="4" fillId="4" borderId="8" xfId="0" applyNumberFormat="1" applyFont="1" applyFill="1" applyBorder="1" applyAlignment="1">
      <alignment vertical="center"/>
    </xf>
    <xf numFmtId="44" fontId="4" fillId="4" borderId="23" xfId="0" applyNumberFormat="1" applyFont="1" applyFill="1" applyBorder="1"/>
    <xf numFmtId="0" fontId="4" fillId="0" borderId="15" xfId="0" applyFont="1" applyBorder="1"/>
    <xf numFmtId="44" fontId="4" fillId="0" borderId="0" xfId="0" applyNumberFormat="1" applyFont="1"/>
    <xf numFmtId="4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4" fontId="9" fillId="3" borderId="22" xfId="0" applyNumberFormat="1" applyFont="1" applyFill="1" applyBorder="1"/>
    <xf numFmtId="44" fontId="9" fillId="3" borderId="17" xfId="0" applyNumberFormat="1" applyFont="1" applyFill="1" applyBorder="1"/>
    <xf numFmtId="0" fontId="5" fillId="0" borderId="1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/>
    </xf>
    <xf numFmtId="44" fontId="5" fillId="6" borderId="10" xfId="0" applyNumberFormat="1" applyFont="1" applyFill="1" applyBorder="1"/>
    <xf numFmtId="44" fontId="5" fillId="6" borderId="0" xfId="0" applyNumberFormat="1" applyFont="1" applyFill="1"/>
    <xf numFmtId="44" fontId="5" fillId="6" borderId="24" xfId="0" applyNumberFormat="1" applyFont="1" applyFill="1" applyBorder="1"/>
    <xf numFmtId="44" fontId="5" fillId="6" borderId="11" xfId="0" applyNumberFormat="1" applyFont="1" applyFill="1" applyBorder="1"/>
    <xf numFmtId="44" fontId="5" fillId="6" borderId="0" xfId="0" applyNumberFormat="1" applyFont="1" applyFill="1" applyAlignment="1">
      <alignment vertical="center"/>
    </xf>
    <xf numFmtId="44" fontId="4" fillId="0" borderId="23" xfId="0" applyNumberFormat="1" applyFont="1" applyBorder="1"/>
    <xf numFmtId="0" fontId="5" fillId="6" borderId="26" xfId="0" applyFont="1" applyFill="1" applyBorder="1" applyAlignment="1">
      <alignment horizontal="center" vertical="center"/>
    </xf>
    <xf numFmtId="44" fontId="5" fillId="6" borderId="25" xfId="0" applyNumberFormat="1" applyFont="1" applyFill="1" applyBorder="1"/>
    <xf numFmtId="0" fontId="4" fillId="6" borderId="25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center" vertical="center"/>
    </xf>
    <xf numFmtId="44" fontId="8" fillId="4" borderId="6" xfId="0" applyNumberFormat="1" applyFont="1" applyFill="1" applyBorder="1"/>
    <xf numFmtId="44" fontId="8" fillId="4" borderId="6" xfId="0" applyNumberFormat="1" applyFont="1" applyFill="1" applyBorder="1" applyAlignment="1">
      <alignment vertical="center"/>
    </xf>
    <xf numFmtId="44" fontId="8" fillId="4" borderId="21" xfId="0" applyNumberFormat="1" applyFont="1" applyFill="1" applyBorder="1"/>
    <xf numFmtId="44" fontId="8" fillId="4" borderId="29" xfId="0" applyNumberFormat="1" applyFont="1" applyFill="1" applyBorder="1"/>
    <xf numFmtId="0" fontId="4" fillId="2" borderId="15" xfId="0" applyFont="1" applyFill="1" applyBorder="1"/>
    <xf numFmtId="44" fontId="4" fillId="2" borderId="0" xfId="0" applyNumberFormat="1" applyFont="1" applyFill="1"/>
    <xf numFmtId="44" fontId="4" fillId="2" borderId="0" xfId="0" applyNumberFormat="1" applyFont="1" applyFill="1" applyAlignment="1">
      <alignment vertical="center"/>
    </xf>
    <xf numFmtId="0" fontId="5" fillId="6" borderId="5" xfId="0" applyFont="1" applyFill="1" applyBorder="1" applyAlignment="1">
      <alignment horizontal="center"/>
    </xf>
    <xf numFmtId="44" fontId="7" fillId="6" borderId="6" xfId="0" applyNumberFormat="1" applyFont="1" applyFill="1" applyBorder="1"/>
    <xf numFmtId="44" fontId="7" fillId="6" borderId="6" xfId="0" applyNumberFormat="1" applyFont="1" applyFill="1" applyBorder="1" applyAlignment="1">
      <alignment vertical="center"/>
    </xf>
    <xf numFmtId="44" fontId="7" fillId="6" borderId="21" xfId="0" applyNumberFormat="1" applyFont="1" applyFill="1" applyBorder="1"/>
    <xf numFmtId="0" fontId="6" fillId="6" borderId="5" xfId="0" applyFont="1" applyFill="1" applyBorder="1"/>
    <xf numFmtId="44" fontId="6" fillId="6" borderId="29" xfId="0" applyNumberFormat="1" applyFont="1" applyFill="1" applyBorder="1"/>
    <xf numFmtId="0" fontId="5" fillId="6" borderId="5" xfId="0" applyFont="1" applyFill="1" applyBorder="1" applyAlignment="1">
      <alignment horizontal="center" vertical="center"/>
    </xf>
    <xf numFmtId="44" fontId="5" fillId="6" borderId="6" xfId="0" applyNumberFormat="1" applyFont="1" applyFill="1" applyBorder="1"/>
    <xf numFmtId="44" fontId="5" fillId="6" borderId="25" xfId="0" applyNumberFormat="1" applyFont="1" applyFill="1" applyBorder="1" applyAlignment="1">
      <alignment horizontal="center" vertical="center"/>
    </xf>
    <xf numFmtId="44" fontId="5" fillId="6" borderId="21" xfId="0" applyNumberFormat="1" applyFont="1" applyFill="1" applyBorder="1"/>
    <xf numFmtId="44" fontId="5" fillId="6" borderId="29" xfId="0" applyNumberFormat="1" applyFont="1" applyFill="1" applyBorder="1"/>
    <xf numFmtId="0" fontId="5" fillId="2" borderId="15" xfId="0" applyFont="1" applyFill="1" applyBorder="1" applyAlignment="1">
      <alignment horizontal="center" vertical="center"/>
    </xf>
    <xf numFmtId="44" fontId="5" fillId="2" borderId="0" xfId="0" applyNumberFormat="1" applyFont="1" applyFill="1"/>
    <xf numFmtId="44" fontId="5" fillId="2" borderId="0" xfId="0" applyNumberFormat="1" applyFont="1" applyFill="1" applyAlignment="1">
      <alignment vertical="center"/>
    </xf>
    <xf numFmtId="0" fontId="5" fillId="5" borderId="5" xfId="0" applyFont="1" applyFill="1" applyBorder="1" applyAlignment="1">
      <alignment horizontal="center" vertical="center"/>
    </xf>
    <xf numFmtId="44" fontId="5" fillId="5" borderId="6" xfId="0" applyNumberFormat="1" applyFont="1" applyFill="1" applyBorder="1"/>
    <xf numFmtId="44" fontId="5" fillId="5" borderId="6" xfId="0" applyNumberFormat="1" applyFont="1" applyFill="1" applyBorder="1" applyAlignment="1">
      <alignment vertical="center"/>
    </xf>
    <xf numFmtId="44" fontId="5" fillId="5" borderId="21" xfId="0" applyNumberFormat="1" applyFont="1" applyFill="1" applyBorder="1"/>
    <xf numFmtId="0" fontId="4" fillId="2" borderId="15" xfId="0" applyFont="1" applyFill="1" applyBorder="1" applyAlignment="1">
      <alignment horizontal="right"/>
    </xf>
    <xf numFmtId="44" fontId="3" fillId="2" borderId="0" xfId="0" applyNumberFormat="1" applyFont="1" applyFill="1"/>
    <xf numFmtId="0" fontId="6" fillId="5" borderId="5" xfId="0" applyFont="1" applyFill="1" applyBorder="1" applyAlignment="1">
      <alignment horizontal="left" vertical="top"/>
    </xf>
    <xf numFmtId="44" fontId="6" fillId="3" borderId="6" xfId="1" applyFont="1" applyFill="1" applyBorder="1"/>
    <xf numFmtId="44" fontId="6" fillId="3" borderId="21" xfId="1" applyFont="1" applyFill="1" applyBorder="1"/>
    <xf numFmtId="0" fontId="10" fillId="0" borderId="0" xfId="0" applyFont="1" applyAlignment="1">
      <alignment horizontal="center" vertical="center" wrapText="1"/>
    </xf>
    <xf numFmtId="44" fontId="10" fillId="0" borderId="0" xfId="1" applyFont="1" applyFill="1" applyBorder="1" applyAlignment="1">
      <alignment horizontal="left" vertical="top"/>
    </xf>
    <xf numFmtId="0" fontId="10" fillId="7" borderId="5" xfId="0" applyFont="1" applyFill="1" applyBorder="1" applyAlignment="1">
      <alignment horizontal="center" vertical="center" wrapText="1"/>
    </xf>
    <xf numFmtId="44" fontId="10" fillId="7" borderId="29" xfId="1" applyFont="1" applyFill="1" applyBorder="1" applyAlignment="1">
      <alignment horizontal="left" vertical="top"/>
    </xf>
    <xf numFmtId="44" fontId="11" fillId="0" borderId="32" xfId="1" applyFont="1" applyBorder="1" applyAlignment="1">
      <alignment horizontal="center" vertical="center"/>
    </xf>
    <xf numFmtId="44" fontId="4" fillId="0" borderId="8" xfId="0" applyNumberFormat="1" applyFont="1" applyBorder="1"/>
    <xf numFmtId="44" fontId="6" fillId="6" borderId="27" xfId="0" applyNumberFormat="1" applyFont="1" applyFill="1" applyBorder="1"/>
    <xf numFmtId="44" fontId="5" fillId="6" borderId="27" xfId="0" applyNumberFormat="1" applyFont="1" applyFill="1" applyBorder="1"/>
    <xf numFmtId="44" fontId="8" fillId="4" borderId="27" xfId="0" applyNumberFormat="1" applyFont="1" applyFill="1" applyBorder="1"/>
    <xf numFmtId="10" fontId="4" fillId="3" borderId="1" xfId="0" applyNumberFormat="1" applyFont="1" applyFill="1" applyBorder="1"/>
    <xf numFmtId="10" fontId="5" fillId="0" borderId="14" xfId="0" applyNumberFormat="1" applyFont="1" applyBorder="1" applyAlignment="1">
      <alignment horizontal="center" vertical="center" wrapText="1"/>
    </xf>
    <xf numFmtId="10" fontId="6" fillId="3" borderId="21" xfId="1" applyNumberFormat="1" applyFont="1" applyFill="1" applyBorder="1"/>
    <xf numFmtId="10" fontId="6" fillId="2" borderId="13" xfId="1" applyNumberFormat="1" applyFont="1" applyFill="1" applyBorder="1"/>
    <xf numFmtId="10" fontId="4" fillId="2" borderId="0" xfId="0" applyNumberFormat="1" applyFont="1" applyFill="1"/>
    <xf numFmtId="10" fontId="7" fillId="6" borderId="21" xfId="0" applyNumberFormat="1" applyFont="1" applyFill="1" applyBorder="1"/>
    <xf numFmtId="10" fontId="4" fillId="6" borderId="24" xfId="0" applyNumberFormat="1" applyFont="1" applyFill="1" applyBorder="1"/>
    <xf numFmtId="10" fontId="4" fillId="6" borderId="8" xfId="0" applyNumberFormat="1" applyFont="1" applyFill="1" applyBorder="1"/>
    <xf numFmtId="10" fontId="6" fillId="2" borderId="13" xfId="0" applyNumberFormat="1" applyFont="1" applyFill="1" applyBorder="1"/>
    <xf numFmtId="10" fontId="4" fillId="2" borderId="19" xfId="0" applyNumberFormat="1" applyFont="1" applyFill="1" applyBorder="1"/>
    <xf numFmtId="10" fontId="5" fillId="6" borderId="27" xfId="0" applyNumberFormat="1" applyFont="1" applyFill="1" applyBorder="1"/>
    <xf numFmtId="10" fontId="5" fillId="2" borderId="13" xfId="0" applyNumberFormat="1" applyFont="1" applyFill="1" applyBorder="1"/>
    <xf numFmtId="10" fontId="5" fillId="2" borderId="0" xfId="0" applyNumberFormat="1" applyFont="1" applyFill="1"/>
    <xf numFmtId="10" fontId="5" fillId="5" borderId="21" xfId="0" applyNumberFormat="1" applyFont="1" applyFill="1" applyBorder="1"/>
    <xf numFmtId="10" fontId="4" fillId="5" borderId="22" xfId="0" applyNumberFormat="1" applyFont="1" applyFill="1" applyBorder="1"/>
    <xf numFmtId="10" fontId="3" fillId="2" borderId="0" xfId="0" applyNumberFormat="1" applyFont="1" applyFill="1"/>
    <xf numFmtId="10" fontId="3" fillId="2" borderId="19" xfId="0" applyNumberFormat="1" applyFont="1" applyFill="1" applyBorder="1"/>
    <xf numFmtId="10" fontId="8" fillId="4" borderId="27" xfId="0" applyNumberFormat="1" applyFont="1" applyFill="1" applyBorder="1"/>
    <xf numFmtId="10" fontId="4" fillId="4" borderId="22" xfId="0" applyNumberFormat="1" applyFont="1" applyFill="1" applyBorder="1"/>
    <xf numFmtId="10" fontId="4" fillId="0" borderId="0" xfId="0" applyNumberFormat="1" applyFont="1"/>
    <xf numFmtId="44" fontId="5" fillId="6" borderId="28" xfId="0" applyNumberFormat="1" applyFont="1" applyFill="1" applyBorder="1"/>
    <xf numFmtId="44" fontId="4" fillId="5" borderId="1" xfId="0" applyNumberFormat="1" applyFont="1" applyFill="1" applyBorder="1" applyAlignment="1">
      <alignment horizontal="left"/>
    </xf>
    <xf numFmtId="44" fontId="4" fillId="5" borderId="1" xfId="0" applyNumberFormat="1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/>
    </xf>
    <xf numFmtId="44" fontId="4" fillId="0" borderId="0" xfId="1" applyFont="1"/>
    <xf numFmtId="44" fontId="6" fillId="5" borderId="26" xfId="0" applyNumberFormat="1" applyFont="1" applyFill="1" applyBorder="1"/>
    <xf numFmtId="10" fontId="3" fillId="5" borderId="29" xfId="0" applyNumberFormat="1" applyFont="1" applyFill="1" applyBorder="1"/>
    <xf numFmtId="44" fontId="5" fillId="0" borderId="14" xfId="0" applyNumberFormat="1" applyFont="1" applyBorder="1" applyAlignment="1">
      <alignment horizontal="center" vertical="center" wrapText="1"/>
    </xf>
    <xf numFmtId="44" fontId="6" fillId="4" borderId="37" xfId="0" applyNumberFormat="1" applyFont="1" applyFill="1" applyBorder="1"/>
    <xf numFmtId="10" fontId="6" fillId="4" borderId="37" xfId="0" applyNumberFormat="1" applyFont="1" applyFill="1" applyBorder="1"/>
    <xf numFmtId="0" fontId="6" fillId="4" borderId="18" xfId="0" applyFont="1" applyFill="1" applyBorder="1"/>
    <xf numFmtId="44" fontId="6" fillId="4" borderId="19" xfId="0" applyNumberFormat="1" applyFont="1" applyFill="1" applyBorder="1"/>
    <xf numFmtId="10" fontId="6" fillId="4" borderId="19" xfId="0" applyNumberFormat="1" applyFont="1" applyFill="1" applyBorder="1"/>
    <xf numFmtId="0" fontId="4" fillId="4" borderId="26" xfId="0" applyFont="1" applyFill="1" applyBorder="1"/>
    <xf numFmtId="44" fontId="4" fillId="4" borderId="25" xfId="0" applyNumberFormat="1" applyFont="1" applyFill="1" applyBorder="1"/>
    <xf numFmtId="44" fontId="4" fillId="4" borderId="25" xfId="0" applyNumberFormat="1" applyFont="1" applyFill="1" applyBorder="1" applyAlignment="1">
      <alignment vertical="center"/>
    </xf>
    <xf numFmtId="10" fontId="4" fillId="4" borderId="25" xfId="0" applyNumberFormat="1" applyFont="1" applyFill="1" applyBorder="1"/>
    <xf numFmtId="44" fontId="6" fillId="0" borderId="0" xfId="0" applyNumberFormat="1" applyFont="1"/>
    <xf numFmtId="0" fontId="6" fillId="0" borderId="0" xfId="0" applyFont="1" applyAlignment="1">
      <alignment vertical="center"/>
    </xf>
    <xf numFmtId="10" fontId="6" fillId="0" borderId="0" xfId="0" applyNumberFormat="1" applyFont="1"/>
    <xf numFmtId="44" fontId="0" fillId="0" borderId="0" xfId="0" applyNumberFormat="1"/>
    <xf numFmtId="10" fontId="4" fillId="6" borderId="21" xfId="0" applyNumberFormat="1" applyFont="1" applyFill="1" applyBorder="1"/>
    <xf numFmtId="10" fontId="8" fillId="6" borderId="27" xfId="0" applyNumberFormat="1" applyFont="1" applyFill="1" applyBorder="1"/>
    <xf numFmtId="0" fontId="15" fillId="0" borderId="3" xfId="0" applyFont="1" applyBorder="1" applyAlignment="1">
      <alignment vertical="center"/>
    </xf>
    <xf numFmtId="44" fontId="16" fillId="0" borderId="2" xfId="1" applyFont="1" applyBorder="1" applyAlignment="1">
      <alignment vertical="center"/>
    </xf>
    <xf numFmtId="44" fontId="17" fillId="0" borderId="2" xfId="0" applyNumberFormat="1" applyFont="1" applyBorder="1" applyAlignment="1">
      <alignment vertical="center"/>
    </xf>
    <xf numFmtId="0" fontId="14" fillId="0" borderId="0" xfId="0" applyFont="1"/>
    <xf numFmtId="44" fontId="15" fillId="0" borderId="0" xfId="1" applyFont="1" applyBorder="1" applyAlignment="1">
      <alignment horizontal="center" vertical="center"/>
    </xf>
    <xf numFmtId="9" fontId="15" fillId="0" borderId="0" xfId="2" applyFont="1" applyBorder="1" applyAlignment="1">
      <alignment horizontal="center" vertical="center"/>
    </xf>
    <xf numFmtId="44" fontId="15" fillId="0" borderId="0" xfId="1" applyFont="1" applyBorder="1"/>
    <xf numFmtId="9" fontId="15" fillId="0" borderId="0" xfId="2" applyFont="1" applyBorder="1"/>
    <xf numFmtId="44" fontId="19" fillId="0" borderId="0" xfId="1" applyFont="1"/>
    <xf numFmtId="44" fontId="4" fillId="0" borderId="16" xfId="0" applyNumberFormat="1" applyFont="1" applyBorder="1"/>
    <xf numFmtId="44" fontId="4" fillId="0" borderId="38" xfId="0" applyNumberFormat="1" applyFont="1" applyBorder="1"/>
    <xf numFmtId="0" fontId="6" fillId="0" borderId="15" xfId="0" applyFont="1" applyBorder="1"/>
    <xf numFmtId="44" fontId="6" fillId="0" borderId="16" xfId="0" applyNumberFormat="1" applyFont="1" applyBorder="1"/>
    <xf numFmtId="0" fontId="3" fillId="0" borderId="15" xfId="0" applyFont="1" applyBorder="1"/>
    <xf numFmtId="44" fontId="9" fillId="0" borderId="16" xfId="0" applyNumberFormat="1" applyFont="1" applyBorder="1"/>
    <xf numFmtId="44" fontId="9" fillId="0" borderId="38" xfId="0" applyNumberFormat="1" applyFont="1" applyBorder="1"/>
    <xf numFmtId="0" fontId="6" fillId="8" borderId="18" xfId="0" applyFont="1" applyFill="1" applyBorder="1"/>
    <xf numFmtId="44" fontId="3" fillId="8" borderId="20" xfId="0" applyNumberFormat="1" applyFont="1" applyFill="1" applyBorder="1"/>
    <xf numFmtId="0" fontId="3" fillId="8" borderId="26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10" fontId="4" fillId="3" borderId="4" xfId="0" applyNumberFormat="1" applyFont="1" applyFill="1" applyBorder="1"/>
    <xf numFmtId="10" fontId="4" fillId="5" borderId="24" xfId="0" applyNumberFormat="1" applyFont="1" applyFill="1" applyBorder="1"/>
    <xf numFmtId="10" fontId="4" fillId="4" borderId="24" xfId="0" applyNumberFormat="1" applyFont="1" applyFill="1" applyBorder="1"/>
    <xf numFmtId="44" fontId="6" fillId="4" borderId="6" xfId="0" applyNumberFormat="1" applyFont="1" applyFill="1" applyBorder="1"/>
    <xf numFmtId="0" fontId="6" fillId="4" borderId="0" xfId="0" applyFont="1" applyFill="1"/>
    <xf numFmtId="44" fontId="5" fillId="3" borderId="26" xfId="0" applyNumberFormat="1" applyFont="1" applyFill="1" applyBorder="1" applyAlignment="1">
      <alignment horizontal="center" wrapText="1"/>
    </xf>
    <xf numFmtId="10" fontId="5" fillId="3" borderId="21" xfId="0" applyNumberFormat="1" applyFont="1" applyFill="1" applyBorder="1" applyAlignment="1">
      <alignment horizontal="center" wrapText="1"/>
    </xf>
    <xf numFmtId="44" fontId="5" fillId="3" borderId="29" xfId="0" applyNumberFormat="1" applyFont="1" applyFill="1" applyBorder="1" applyAlignment="1">
      <alignment horizontal="center" wrapText="1"/>
    </xf>
    <xf numFmtId="44" fontId="4" fillId="4" borderId="24" xfId="0" applyNumberFormat="1" applyFont="1" applyFill="1" applyBorder="1"/>
    <xf numFmtId="0" fontId="6" fillId="4" borderId="9" xfId="0" applyFont="1" applyFill="1" applyBorder="1"/>
    <xf numFmtId="44" fontId="6" fillId="4" borderId="10" xfId="0" applyNumberFormat="1" applyFont="1" applyFill="1" applyBorder="1"/>
    <xf numFmtId="44" fontId="4" fillId="0" borderId="1" xfId="0" applyNumberFormat="1" applyFont="1" applyBorder="1"/>
    <xf numFmtId="44" fontId="4" fillId="5" borderId="0" xfId="0" applyNumberFormat="1" applyFont="1" applyFill="1" applyAlignment="1">
      <alignment horizontal="left"/>
    </xf>
    <xf numFmtId="10" fontId="4" fillId="5" borderId="0" xfId="0" applyNumberFormat="1" applyFont="1" applyFill="1"/>
    <xf numFmtId="0" fontId="4" fillId="0" borderId="0" xfId="0" applyFont="1" applyAlignment="1">
      <alignment horizontal="left"/>
    </xf>
    <xf numFmtId="44" fontId="4" fillId="5" borderId="31" xfId="0" applyNumberFormat="1" applyFont="1" applyFill="1" applyBorder="1"/>
    <xf numFmtId="0" fontId="3" fillId="0" borderId="0" xfId="0" applyFont="1" applyAlignment="1">
      <alignment horizontal="center"/>
    </xf>
    <xf numFmtId="44" fontId="5" fillId="3" borderId="25" xfId="0" applyNumberFormat="1" applyFont="1" applyFill="1" applyBorder="1" applyAlignment="1">
      <alignment horizontal="center" wrapText="1"/>
    </xf>
    <xf numFmtId="44" fontId="4" fillId="3" borderId="39" xfId="0" applyNumberFormat="1" applyFont="1" applyFill="1" applyBorder="1"/>
    <xf numFmtId="44" fontId="4" fillId="3" borderId="30" xfId="0" applyNumberFormat="1" applyFont="1" applyFill="1" applyBorder="1"/>
    <xf numFmtId="44" fontId="4" fillId="3" borderId="41" xfId="0" applyNumberFormat="1" applyFont="1" applyFill="1" applyBorder="1"/>
    <xf numFmtId="44" fontId="4" fillId="3" borderId="31" xfId="0" applyNumberFormat="1" applyFont="1" applyFill="1" applyBorder="1"/>
    <xf numFmtId="44" fontId="6" fillId="3" borderId="25" xfId="0" applyNumberFormat="1" applyFont="1" applyFill="1" applyBorder="1"/>
    <xf numFmtId="44" fontId="9" fillId="3" borderId="39" xfId="0" applyNumberFormat="1" applyFont="1" applyFill="1" applyBorder="1"/>
    <xf numFmtId="44" fontId="9" fillId="3" borderId="30" xfId="0" applyNumberFormat="1" applyFont="1" applyFill="1" applyBorder="1"/>
    <xf numFmtId="44" fontId="6" fillId="3" borderId="25" xfId="1" applyFont="1" applyFill="1" applyBorder="1"/>
    <xf numFmtId="44" fontId="7" fillId="6" borderId="25" xfId="0" applyNumberFormat="1" applyFont="1" applyFill="1" applyBorder="1"/>
    <xf numFmtId="44" fontId="6" fillId="6" borderId="25" xfId="0" applyNumberFormat="1" applyFont="1" applyFill="1" applyBorder="1"/>
    <xf numFmtId="44" fontId="4" fillId="6" borderId="39" xfId="0" applyNumberFormat="1" applyFont="1" applyFill="1" applyBorder="1"/>
    <xf numFmtId="44" fontId="4" fillId="6" borderId="30" xfId="0" applyNumberFormat="1" applyFont="1" applyFill="1" applyBorder="1"/>
    <xf numFmtId="44" fontId="4" fillId="6" borderId="41" xfId="0" applyNumberFormat="1" applyFont="1" applyFill="1" applyBorder="1"/>
    <xf numFmtId="44" fontId="4" fillId="6" borderId="42" xfId="0" applyNumberFormat="1" applyFont="1" applyFill="1" applyBorder="1"/>
    <xf numFmtId="44" fontId="5" fillId="6" borderId="16" xfId="0" applyNumberFormat="1" applyFont="1" applyFill="1" applyBorder="1"/>
    <xf numFmtId="44" fontId="5" fillId="5" borderId="25" xfId="0" applyNumberFormat="1" applyFont="1" applyFill="1" applyBorder="1"/>
    <xf numFmtId="44" fontId="4" fillId="5" borderId="39" xfId="0" applyNumberFormat="1" applyFont="1" applyFill="1" applyBorder="1"/>
    <xf numFmtId="44" fontId="3" fillId="5" borderId="39" xfId="0" applyNumberFormat="1" applyFont="1" applyFill="1" applyBorder="1"/>
    <xf numFmtId="44" fontId="4" fillId="5" borderId="30" xfId="0" applyNumberFormat="1" applyFont="1" applyFill="1" applyBorder="1"/>
    <xf numFmtId="44" fontId="3" fillId="5" borderId="30" xfId="0" applyNumberFormat="1" applyFont="1" applyFill="1" applyBorder="1"/>
    <xf numFmtId="44" fontId="6" fillId="5" borderId="25" xfId="0" applyNumberFormat="1" applyFont="1" applyFill="1" applyBorder="1"/>
    <xf numFmtId="44" fontId="4" fillId="4" borderId="39" xfId="0" applyNumberFormat="1" applyFont="1" applyFill="1" applyBorder="1"/>
    <xf numFmtId="44" fontId="4" fillId="4" borderId="30" xfId="0" applyNumberFormat="1" applyFont="1" applyFill="1" applyBorder="1"/>
    <xf numFmtId="44" fontId="4" fillId="4" borderId="31" xfId="0" applyNumberFormat="1" applyFont="1" applyFill="1" applyBorder="1"/>
    <xf numFmtId="44" fontId="4" fillId="4" borderId="0" xfId="0" applyNumberFormat="1" applyFont="1" applyFill="1"/>
    <xf numFmtId="44" fontId="6" fillId="4" borderId="13" xfId="0" applyNumberFormat="1" applyFont="1" applyFill="1" applyBorder="1"/>
    <xf numFmtId="49" fontId="5" fillId="0" borderId="14" xfId="0" applyNumberFormat="1" applyFont="1" applyBorder="1" applyAlignment="1">
      <alignment horizontal="center" vertical="center" wrapText="1"/>
    </xf>
    <xf numFmtId="44" fontId="4" fillId="3" borderId="32" xfId="0" applyNumberFormat="1" applyFont="1" applyFill="1" applyBorder="1"/>
    <xf numFmtId="44" fontId="4" fillId="3" borderId="33" xfId="0" applyNumberFormat="1" applyFont="1" applyFill="1" applyBorder="1"/>
    <xf numFmtId="44" fontId="4" fillId="3" borderId="43" xfId="0" applyNumberFormat="1" applyFont="1" applyFill="1" applyBorder="1"/>
    <xf numFmtId="44" fontId="6" fillId="3" borderId="29" xfId="0" applyNumberFormat="1" applyFont="1" applyFill="1" applyBorder="1"/>
    <xf numFmtId="44" fontId="6" fillId="3" borderId="29" xfId="1" applyFont="1" applyFill="1" applyBorder="1"/>
    <xf numFmtId="44" fontId="6" fillId="2" borderId="14" xfId="1" applyFont="1" applyFill="1" applyBorder="1"/>
    <xf numFmtId="44" fontId="4" fillId="2" borderId="16" xfId="0" applyNumberFormat="1" applyFont="1" applyFill="1" applyBorder="1"/>
    <xf numFmtId="44" fontId="7" fillId="6" borderId="29" xfId="0" applyNumberFormat="1" applyFont="1" applyFill="1" applyBorder="1"/>
    <xf numFmtId="44" fontId="4" fillId="6" borderId="11" xfId="0" applyNumberFormat="1" applyFont="1" applyFill="1" applyBorder="1"/>
    <xf numFmtId="44" fontId="4" fillId="6" borderId="32" xfId="0" applyNumberFormat="1" applyFont="1" applyFill="1" applyBorder="1"/>
    <xf numFmtId="44" fontId="4" fillId="6" borderId="33" xfId="0" applyNumberFormat="1" applyFont="1" applyFill="1" applyBorder="1"/>
    <xf numFmtId="44" fontId="4" fillId="6" borderId="43" xfId="0" applyNumberFormat="1" applyFont="1" applyFill="1" applyBorder="1"/>
    <xf numFmtId="44" fontId="6" fillId="2" borderId="14" xfId="0" applyNumberFormat="1" applyFont="1" applyFill="1" applyBorder="1"/>
    <xf numFmtId="44" fontId="4" fillId="2" borderId="20" xfId="0" applyNumberFormat="1" applyFont="1" applyFill="1" applyBorder="1"/>
    <xf numFmtId="44" fontId="5" fillId="2" borderId="14" xfId="0" applyNumberFormat="1" applyFont="1" applyFill="1" applyBorder="1"/>
    <xf numFmtId="44" fontId="5" fillId="2" borderId="16" xfId="0" applyNumberFormat="1" applyFont="1" applyFill="1" applyBorder="1"/>
    <xf numFmtId="44" fontId="5" fillId="5" borderId="29" xfId="0" applyNumberFormat="1" applyFont="1" applyFill="1" applyBorder="1"/>
    <xf numFmtId="44" fontId="4" fillId="5" borderId="32" xfId="0" applyNumberFormat="1" applyFont="1" applyFill="1" applyBorder="1"/>
    <xf numFmtId="44" fontId="4" fillId="5" borderId="33" xfId="0" applyNumberFormat="1" applyFont="1" applyFill="1" applyBorder="1"/>
    <xf numFmtId="0" fontId="4" fillId="5" borderId="2" xfId="0" applyFont="1" applyFill="1" applyBorder="1" applyAlignment="1">
      <alignment horizontal="left"/>
    </xf>
    <xf numFmtId="44" fontId="4" fillId="5" borderId="33" xfId="0" applyNumberFormat="1" applyFont="1" applyFill="1" applyBorder="1" applyAlignment="1">
      <alignment horizontal="left"/>
    </xf>
    <xf numFmtId="44" fontId="4" fillId="5" borderId="43" xfId="0" applyNumberFormat="1" applyFont="1" applyFill="1" applyBorder="1"/>
    <xf numFmtId="44" fontId="6" fillId="5" borderId="29" xfId="0" applyNumberFormat="1" applyFont="1" applyFill="1" applyBorder="1"/>
    <xf numFmtId="44" fontId="4" fillId="4" borderId="32" xfId="0" applyNumberFormat="1" applyFont="1" applyFill="1" applyBorder="1"/>
    <xf numFmtId="44" fontId="4" fillId="4" borderId="33" xfId="0" applyNumberFormat="1" applyFont="1" applyFill="1" applyBorder="1"/>
    <xf numFmtId="44" fontId="4" fillId="4" borderId="43" xfId="0" applyNumberFormat="1" applyFont="1" applyFill="1" applyBorder="1"/>
    <xf numFmtId="44" fontId="6" fillId="4" borderId="11" xfId="0" applyNumberFormat="1" applyFont="1" applyFill="1" applyBorder="1"/>
    <xf numFmtId="44" fontId="4" fillId="4" borderId="27" xfId="0" applyNumberFormat="1" applyFont="1" applyFill="1" applyBorder="1"/>
    <xf numFmtId="44" fontId="6" fillId="4" borderId="20" xfId="0" applyNumberFormat="1" applyFont="1" applyFill="1" applyBorder="1"/>
    <xf numFmtId="44" fontId="3" fillId="0" borderId="0" xfId="0" applyNumberFormat="1" applyFont="1"/>
    <xf numFmtId="44" fontId="3" fillId="0" borderId="39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0" fontId="6" fillId="4" borderId="15" xfId="0" applyFont="1" applyFill="1" applyBorder="1"/>
    <xf numFmtId="44" fontId="6" fillId="4" borderId="0" xfId="0" applyNumberFormat="1" applyFont="1" applyFill="1"/>
    <xf numFmtId="10" fontId="6" fillId="4" borderId="0" xfId="0" applyNumberFormat="1" applyFont="1" applyFill="1"/>
    <xf numFmtId="44" fontId="6" fillId="4" borderId="0" xfId="0" applyNumberFormat="1" applyFont="1" applyFill="1" applyAlignment="1">
      <alignment vertical="center"/>
    </xf>
    <xf numFmtId="44" fontId="4" fillId="9" borderId="32" xfId="0" applyNumberFormat="1" applyFont="1" applyFill="1" applyBorder="1"/>
    <xf numFmtId="44" fontId="4" fillId="9" borderId="33" xfId="0" applyNumberFormat="1" applyFont="1" applyFill="1" applyBorder="1"/>
    <xf numFmtId="49" fontId="5" fillId="0" borderId="0" xfId="0" applyNumberFormat="1" applyFont="1" applyAlignment="1">
      <alignment horizontal="center" vertical="center" wrapText="1"/>
    </xf>
    <xf numFmtId="9" fontId="0" fillId="0" borderId="0" xfId="0" applyNumberFormat="1" applyAlignment="1">
      <alignment horizontal="left" vertical="center"/>
    </xf>
    <xf numFmtId="0" fontId="20" fillId="0" borderId="0" xfId="0" applyFont="1" applyAlignment="1">
      <alignment horizontal="center"/>
    </xf>
    <xf numFmtId="9" fontId="20" fillId="0" borderId="0" xfId="2" applyFont="1" applyFill="1"/>
    <xf numFmtId="0" fontId="20" fillId="0" borderId="0" xfId="0" applyFont="1"/>
    <xf numFmtId="44" fontId="20" fillId="0" borderId="0" xfId="1" applyFont="1"/>
    <xf numFmtId="0" fontId="24" fillId="0" borderId="0" xfId="0" applyFont="1" applyAlignment="1">
      <alignment horizontal="center" vertical="center" wrapText="1"/>
    </xf>
    <xf numFmtId="0" fontId="25" fillId="7" borderId="28" xfId="0" applyFont="1" applyFill="1" applyBorder="1" applyAlignment="1">
      <alignment horizontal="center" vertical="center"/>
    </xf>
    <xf numFmtId="0" fontId="25" fillId="7" borderId="2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9" fontId="22" fillId="0" borderId="0" xfId="2" applyFont="1" applyFill="1" applyBorder="1" applyAlignment="1">
      <alignment horizontal="center" vertical="top"/>
    </xf>
    <xf numFmtId="0" fontId="26" fillId="0" borderId="3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164" fontId="26" fillId="0" borderId="32" xfId="1" applyNumberFormat="1" applyFont="1" applyFill="1" applyBorder="1" applyAlignment="1">
      <alignment horizontal="center" vertical="center"/>
    </xf>
    <xf numFmtId="164" fontId="26" fillId="0" borderId="0" xfId="1" applyNumberFormat="1" applyFont="1" applyFill="1" applyBorder="1" applyAlignment="1">
      <alignment horizontal="center" vertical="center"/>
    </xf>
    <xf numFmtId="9" fontId="21" fillId="0" borderId="0" xfId="2" applyFont="1" applyFill="1" applyBorder="1" applyAlignment="1">
      <alignment horizontal="center" vertical="center"/>
    </xf>
    <xf numFmtId="0" fontId="27" fillId="0" borderId="12" xfId="0" applyFont="1" applyBorder="1" applyAlignment="1">
      <alignment horizontal="left"/>
    </xf>
    <xf numFmtId="44" fontId="27" fillId="0" borderId="13" xfId="1" applyFont="1" applyBorder="1" applyAlignment="1">
      <alignment horizontal="center"/>
    </xf>
    <xf numFmtId="164" fontId="20" fillId="0" borderId="0" xfId="0" applyNumberFormat="1" applyFont="1"/>
    <xf numFmtId="0" fontId="26" fillId="0" borderId="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64" fontId="26" fillId="0" borderId="33" xfId="1" applyNumberFormat="1" applyFont="1" applyFill="1" applyBorder="1" applyAlignment="1">
      <alignment horizontal="center" vertical="center"/>
    </xf>
    <xf numFmtId="0" fontId="27" fillId="6" borderId="15" xfId="0" applyFont="1" applyFill="1" applyBorder="1" applyAlignment="1">
      <alignment horizontal="left"/>
    </xf>
    <xf numFmtId="44" fontId="27" fillId="6" borderId="39" xfId="1" applyFont="1" applyFill="1" applyBorder="1" applyAlignment="1">
      <alignment horizontal="center"/>
    </xf>
    <xf numFmtId="164" fontId="23" fillId="0" borderId="0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wrapText="1"/>
    </xf>
    <xf numFmtId="44" fontId="27" fillId="6" borderId="0" xfId="1" applyFont="1" applyFill="1" applyBorder="1" applyAlignment="1">
      <alignment horizontal="center"/>
    </xf>
    <xf numFmtId="0" fontId="27" fillId="0" borderId="15" xfId="0" applyFont="1" applyBorder="1" applyAlignment="1">
      <alignment horizontal="left"/>
    </xf>
    <xf numFmtId="44" fontId="27" fillId="0" borderId="0" xfId="1" applyFont="1" applyBorder="1" applyAlignment="1">
      <alignment horizontal="center"/>
    </xf>
    <xf numFmtId="164" fontId="20" fillId="0" borderId="0" xfId="0" applyNumberFormat="1" applyFont="1" applyAlignment="1">
      <alignment wrapText="1"/>
    </xf>
    <xf numFmtId="0" fontId="20" fillId="6" borderId="18" xfId="0" applyFont="1" applyFill="1" applyBorder="1"/>
    <xf numFmtId="44" fontId="20" fillId="6" borderId="19" xfId="1" applyFont="1" applyFill="1" applyBorder="1"/>
    <xf numFmtId="0" fontId="20" fillId="6" borderId="0" xfId="0" applyFont="1" applyFill="1"/>
    <xf numFmtId="44" fontId="20" fillId="6" borderId="0" xfId="1" applyFont="1" applyFill="1" applyBorder="1"/>
    <xf numFmtId="164" fontId="25" fillId="7" borderId="45" xfId="1" applyNumberFormat="1" applyFont="1" applyFill="1" applyBorder="1" applyAlignment="1">
      <alignment horizontal="center" vertical="center"/>
    </xf>
    <xf numFmtId="164" fontId="25" fillId="0" borderId="0" xfId="1" applyNumberFormat="1" applyFont="1" applyFill="1" applyBorder="1" applyAlignment="1">
      <alignment horizontal="center" vertical="center"/>
    </xf>
    <xf numFmtId="9" fontId="22" fillId="0" borderId="0" xfId="2" applyFont="1" applyFill="1" applyBorder="1" applyAlignment="1">
      <alignment horizontal="center" vertical="center"/>
    </xf>
    <xf numFmtId="44" fontId="20" fillId="0" borderId="0" xfId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164" fontId="28" fillId="0" borderId="0" xfId="1" applyNumberFormat="1" applyFont="1" applyFill="1" applyBorder="1" applyAlignment="1">
      <alignment horizontal="left" vertical="top"/>
    </xf>
    <xf numFmtId="164" fontId="25" fillId="0" borderId="0" xfId="1" applyNumberFormat="1" applyFont="1" applyFill="1" applyBorder="1" applyAlignment="1">
      <alignment horizontal="left" vertical="top"/>
    </xf>
    <xf numFmtId="9" fontId="22" fillId="0" borderId="0" xfId="2" applyFont="1" applyFill="1" applyBorder="1" applyAlignment="1">
      <alignment horizontal="left" vertical="top"/>
    </xf>
    <xf numFmtId="44" fontId="20" fillId="0" borderId="0" xfId="1" applyFont="1" applyBorder="1"/>
    <xf numFmtId="44" fontId="20" fillId="0" borderId="0" xfId="0" applyNumberFormat="1" applyFont="1"/>
    <xf numFmtId="0" fontId="29" fillId="0" borderId="0" xfId="0" applyFont="1"/>
    <xf numFmtId="0" fontId="25" fillId="7" borderId="5" xfId="0" applyFont="1" applyFill="1" applyBorder="1" applyAlignment="1">
      <alignment horizontal="center" vertical="center" wrapText="1"/>
    </xf>
    <xf numFmtId="0" fontId="25" fillId="7" borderId="25" xfId="0" applyFont="1" applyFill="1" applyBorder="1" applyAlignment="1">
      <alignment horizontal="center" vertical="center" wrapText="1"/>
    </xf>
    <xf numFmtId="164" fontId="25" fillId="7" borderId="29" xfId="1" applyNumberFormat="1" applyFont="1" applyFill="1" applyBorder="1" applyAlignment="1">
      <alignment horizontal="left" vertical="top"/>
    </xf>
    <xf numFmtId="0" fontId="29" fillId="0" borderId="3" xfId="0" applyFont="1" applyBorder="1" applyAlignment="1">
      <alignment vertical="center"/>
    </xf>
    <xf numFmtId="0" fontId="29" fillId="0" borderId="39" xfId="0" applyFont="1" applyBorder="1" applyAlignment="1">
      <alignment vertical="center"/>
    </xf>
    <xf numFmtId="164" fontId="26" fillId="0" borderId="32" xfId="1" applyNumberFormat="1" applyFont="1" applyBorder="1" applyAlignment="1">
      <alignment horizontal="center" vertical="center"/>
    </xf>
    <xf numFmtId="44" fontId="29" fillId="0" borderId="2" xfId="1" applyFont="1" applyBorder="1" applyAlignment="1">
      <alignment vertical="center"/>
    </xf>
    <xf numFmtId="44" fontId="29" fillId="0" borderId="30" xfId="1" applyFont="1" applyBorder="1" applyAlignment="1">
      <alignment vertical="center"/>
    </xf>
    <xf numFmtId="164" fontId="26" fillId="0" borderId="33" xfId="1" applyNumberFormat="1" applyFont="1" applyBorder="1" applyAlignment="1">
      <alignment horizontal="center" vertical="center"/>
    </xf>
    <xf numFmtId="44" fontId="30" fillId="0" borderId="2" xfId="1" applyFont="1" applyBorder="1" applyAlignment="1">
      <alignment vertical="center"/>
    </xf>
    <xf numFmtId="44" fontId="30" fillId="0" borderId="30" xfId="1" applyFont="1" applyBorder="1" applyAlignment="1">
      <alignment vertical="center"/>
    </xf>
    <xf numFmtId="164" fontId="25" fillId="0" borderId="33" xfId="1" applyNumberFormat="1" applyFont="1" applyBorder="1" applyAlignment="1">
      <alignment horizontal="center" vertical="center"/>
    </xf>
    <xf numFmtId="44" fontId="31" fillId="0" borderId="2" xfId="0" applyNumberFormat="1" applyFont="1" applyBorder="1" applyAlignment="1">
      <alignment vertical="center"/>
    </xf>
    <xf numFmtId="44" fontId="31" fillId="0" borderId="31" xfId="0" applyNumberFormat="1" applyFont="1" applyBorder="1" applyAlignment="1">
      <alignment vertical="center"/>
    </xf>
    <xf numFmtId="164" fontId="31" fillId="0" borderId="34" xfId="1" applyNumberFormat="1" applyFont="1" applyBorder="1" applyAlignment="1">
      <alignment horizontal="center" vertical="center"/>
    </xf>
    <xf numFmtId="164" fontId="31" fillId="0" borderId="0" xfId="1" applyNumberFormat="1" applyFont="1" applyFill="1" applyBorder="1" applyAlignment="1">
      <alignment horizontal="center" vertical="center"/>
    </xf>
    <xf numFmtId="9" fontId="32" fillId="0" borderId="0" xfId="2" applyFont="1" applyFill="1" applyBorder="1" applyAlignment="1">
      <alignment horizontal="center" vertical="center"/>
    </xf>
    <xf numFmtId="0" fontId="30" fillId="0" borderId="2" xfId="0" applyFont="1" applyBorder="1" applyAlignment="1">
      <alignment vertical="center"/>
    </xf>
    <xf numFmtId="0" fontId="30" fillId="0" borderId="39" xfId="0" applyFont="1" applyBorder="1" applyAlignment="1">
      <alignment vertical="center"/>
    </xf>
    <xf numFmtId="164" fontId="30" fillId="0" borderId="32" xfId="1" applyNumberFormat="1" applyFont="1" applyBorder="1" applyAlignment="1">
      <alignment horizontal="center" vertical="center"/>
    </xf>
    <xf numFmtId="164" fontId="30" fillId="0" borderId="0" xfId="1" applyNumberFormat="1" applyFont="1" applyFill="1" applyBorder="1" applyAlignment="1">
      <alignment horizontal="center" vertical="center"/>
    </xf>
    <xf numFmtId="9" fontId="33" fillId="0" borderId="0" xfId="2" applyFont="1" applyFill="1" applyBorder="1" applyAlignment="1">
      <alignment horizontal="center" vertical="center"/>
    </xf>
    <xf numFmtId="0" fontId="34" fillId="8" borderId="35" xfId="0" applyFont="1" applyFill="1" applyBorder="1" applyAlignment="1">
      <alignment vertical="center"/>
    </xf>
    <xf numFmtId="0" fontId="34" fillId="8" borderId="40" xfId="0" applyFont="1" applyFill="1" applyBorder="1" applyAlignment="1">
      <alignment vertical="center"/>
    </xf>
    <xf numFmtId="164" fontId="34" fillId="8" borderId="36" xfId="1" applyNumberFormat="1" applyFont="1" applyFill="1" applyBorder="1" applyAlignment="1">
      <alignment horizontal="center" vertical="center"/>
    </xf>
    <xf numFmtId="164" fontId="34" fillId="0" borderId="0" xfId="1" applyNumberFormat="1" applyFont="1" applyFill="1" applyBorder="1" applyAlignment="1">
      <alignment horizontal="center" vertical="center"/>
    </xf>
    <xf numFmtId="9" fontId="35" fillId="0" borderId="0" xfId="2" applyFont="1" applyFill="1" applyBorder="1" applyAlignment="1">
      <alignment horizontal="center" vertical="center"/>
    </xf>
    <xf numFmtId="164" fontId="29" fillId="0" borderId="0" xfId="0" applyNumberFormat="1" applyFont="1"/>
    <xf numFmtId="9" fontId="20" fillId="0" borderId="0" xfId="2" applyFont="1" applyFill="1" applyBorder="1"/>
    <xf numFmtId="0" fontId="30" fillId="0" borderId="0" xfId="0" applyFont="1" applyAlignment="1">
      <alignment horizontal="center" vertical="center"/>
    </xf>
    <xf numFmtId="164" fontId="29" fillId="0" borderId="33" xfId="1" applyNumberFormat="1" applyFont="1" applyBorder="1" applyAlignment="1">
      <alignment vertical="center"/>
    </xf>
    <xf numFmtId="164" fontId="29" fillId="0" borderId="0" xfId="1" applyNumberFormat="1" applyFont="1" applyFill="1" applyBorder="1" applyAlignment="1">
      <alignment vertical="center"/>
    </xf>
    <xf numFmtId="164" fontId="30" fillId="8" borderId="36" xfId="1" applyNumberFormat="1" applyFont="1" applyFill="1" applyBorder="1" applyAlignment="1">
      <alignment vertical="center"/>
    </xf>
    <xf numFmtId="164" fontId="30" fillId="0" borderId="0" xfId="1" applyNumberFormat="1" applyFont="1" applyFill="1" applyBorder="1" applyAlignment="1">
      <alignment vertical="center"/>
    </xf>
    <xf numFmtId="9" fontId="33" fillId="0" borderId="0" xfId="2" applyFont="1" applyFill="1" applyBorder="1"/>
    <xf numFmtId="0" fontId="36" fillId="0" borderId="0" xfId="0" applyFont="1"/>
    <xf numFmtId="0" fontId="36" fillId="0" borderId="0" xfId="0" applyFont="1" applyAlignment="1">
      <alignment horizontal="center" vertical="center"/>
    </xf>
    <xf numFmtId="44" fontId="36" fillId="0" borderId="0" xfId="1" applyFont="1"/>
    <xf numFmtId="0" fontId="27" fillId="0" borderId="0" xfId="0" applyFont="1"/>
    <xf numFmtId="44" fontId="27" fillId="0" borderId="0" xfId="0" applyNumberFormat="1" applyFont="1"/>
    <xf numFmtId="44" fontId="12" fillId="0" borderId="32" xfId="1" applyFont="1" applyBorder="1" applyAlignment="1">
      <alignment horizontal="center" vertical="center"/>
    </xf>
    <xf numFmtId="44" fontId="11" fillId="0" borderId="34" xfId="1" applyFont="1" applyBorder="1" applyAlignment="1">
      <alignment horizontal="center" vertical="center"/>
    </xf>
    <xf numFmtId="44" fontId="18" fillId="0" borderId="33" xfId="1" applyFont="1" applyBorder="1" applyAlignment="1">
      <alignment horizontal="center" vertical="center"/>
    </xf>
    <xf numFmtId="44" fontId="37" fillId="0" borderId="33" xfId="1" applyFont="1" applyBorder="1" applyAlignment="1">
      <alignment horizontal="center" vertical="center"/>
    </xf>
    <xf numFmtId="0" fontId="38" fillId="7" borderId="48" xfId="0" applyFont="1" applyFill="1" applyBorder="1" applyAlignment="1">
      <alignment horizontal="center" vertical="center"/>
    </xf>
    <xf numFmtId="0" fontId="38" fillId="7" borderId="48" xfId="0" applyFont="1" applyFill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left" vertical="center" wrapText="1"/>
    </xf>
    <xf numFmtId="164" fontId="39" fillId="0" borderId="48" xfId="1" applyNumberFormat="1" applyFont="1" applyFill="1" applyBorder="1" applyAlignment="1">
      <alignment horizontal="center" vertical="center"/>
    </xf>
    <xf numFmtId="164" fontId="38" fillId="12" borderId="48" xfId="1" applyNumberFormat="1" applyFont="1" applyFill="1" applyBorder="1" applyAlignment="1">
      <alignment horizontal="center" vertical="center"/>
    </xf>
    <xf numFmtId="0" fontId="38" fillId="12" borderId="48" xfId="0" applyFont="1" applyFill="1" applyBorder="1" applyAlignment="1">
      <alignment horizontal="center" vertical="center"/>
    </xf>
    <xf numFmtId="44" fontId="3" fillId="0" borderId="0" xfId="1" applyFont="1"/>
    <xf numFmtId="44" fontId="37" fillId="0" borderId="34" xfId="1" applyFont="1" applyBorder="1" applyAlignment="1">
      <alignment horizontal="center" vertical="center"/>
    </xf>
    <xf numFmtId="0" fontId="16" fillId="0" borderId="3" xfId="0" applyFont="1" applyBorder="1" applyAlignment="1">
      <alignment vertical="center"/>
    </xf>
    <xf numFmtId="44" fontId="13" fillId="0" borderId="32" xfId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44" fontId="37" fillId="0" borderId="0" xfId="1" applyFont="1" applyBorder="1" applyAlignment="1">
      <alignment horizontal="center" vertical="center"/>
    </xf>
    <xf numFmtId="0" fontId="16" fillId="0" borderId="44" xfId="0" applyFont="1" applyBorder="1" applyAlignment="1">
      <alignment vertical="center"/>
    </xf>
    <xf numFmtId="44" fontId="13" fillId="0" borderId="45" xfId="1" applyFont="1" applyBorder="1" applyAlignment="1">
      <alignment horizontal="center" vertical="center"/>
    </xf>
    <xf numFmtId="0" fontId="38" fillId="11" borderId="48" xfId="0" applyFont="1" applyFill="1" applyBorder="1" applyAlignment="1">
      <alignment horizontal="center" vertical="center" wrapText="1"/>
    </xf>
    <xf numFmtId="9" fontId="0" fillId="0" borderId="0" xfId="2" applyFont="1"/>
    <xf numFmtId="44" fontId="4" fillId="3" borderId="52" xfId="0" applyNumberFormat="1" applyFont="1" applyFill="1" applyBorder="1"/>
    <xf numFmtId="44" fontId="4" fillId="3" borderId="57" xfId="0" applyNumberFormat="1" applyFont="1" applyFill="1" applyBorder="1"/>
    <xf numFmtId="44" fontId="4" fillId="3" borderId="51" xfId="0" applyNumberFormat="1" applyFont="1" applyFill="1" applyBorder="1"/>
    <xf numFmtId="44" fontId="6" fillId="3" borderId="28" xfId="0" applyNumberFormat="1" applyFont="1" applyFill="1" applyBorder="1"/>
    <xf numFmtId="44" fontId="6" fillId="6" borderId="28" xfId="0" applyNumberFormat="1" applyFont="1" applyFill="1" applyBorder="1"/>
    <xf numFmtId="44" fontId="4" fillId="6" borderId="57" xfId="0" applyNumberFormat="1" applyFont="1" applyFill="1" applyBorder="1"/>
    <xf numFmtId="44" fontId="4" fillId="6" borderId="51" xfId="0" applyNumberFormat="1" applyFont="1" applyFill="1" applyBorder="1"/>
    <xf numFmtId="44" fontId="6" fillId="2" borderId="56" xfId="0" applyNumberFormat="1" applyFont="1" applyFill="1" applyBorder="1"/>
    <xf numFmtId="44" fontId="4" fillId="5" borderId="57" xfId="0" applyNumberFormat="1" applyFont="1" applyFill="1" applyBorder="1" applyAlignment="1">
      <alignment horizontal="left" vertical="center"/>
    </xf>
    <xf numFmtId="44" fontId="4" fillId="4" borderId="57" xfId="0" applyNumberFormat="1" applyFont="1" applyFill="1" applyBorder="1"/>
    <xf numFmtId="44" fontId="4" fillId="4" borderId="51" xfId="0" applyNumberFormat="1" applyFont="1" applyFill="1" applyBorder="1"/>
    <xf numFmtId="44" fontId="3" fillId="4" borderId="28" xfId="0" applyNumberFormat="1" applyFont="1" applyFill="1" applyBorder="1"/>
    <xf numFmtId="44" fontId="5" fillId="3" borderId="28" xfId="0" applyNumberFormat="1" applyFont="1" applyFill="1" applyBorder="1" applyAlignment="1">
      <alignment horizontal="center"/>
    </xf>
    <xf numFmtId="44" fontId="5" fillId="0" borderId="28" xfId="0" applyNumberFormat="1" applyFont="1" applyBorder="1" applyAlignment="1">
      <alignment horizontal="center" vertical="center" wrapText="1"/>
    </xf>
    <xf numFmtId="0" fontId="6" fillId="3" borderId="26" xfId="0" applyFont="1" applyFill="1" applyBorder="1"/>
    <xf numFmtId="44" fontId="6" fillId="6" borderId="28" xfId="0" applyNumberFormat="1" applyFont="1" applyFill="1" applyBorder="1" applyAlignment="1">
      <alignment horizontal="left"/>
    </xf>
    <xf numFmtId="44" fontId="5" fillId="6" borderId="28" xfId="0" applyNumberFormat="1" applyFont="1" applyFill="1" applyBorder="1" applyAlignment="1">
      <alignment horizontal="center"/>
    </xf>
    <xf numFmtId="0" fontId="5" fillId="6" borderId="26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left"/>
    </xf>
    <xf numFmtId="44" fontId="6" fillId="5" borderId="28" xfId="0" applyNumberFormat="1" applyFont="1" applyFill="1" applyBorder="1" applyAlignment="1">
      <alignment horizontal="left" vertical="top"/>
    </xf>
    <xf numFmtId="0" fontId="5" fillId="5" borderId="26" xfId="0" applyFont="1" applyFill="1" applyBorder="1" applyAlignment="1">
      <alignment horizontal="center" vertical="center"/>
    </xf>
    <xf numFmtId="44" fontId="5" fillId="5" borderId="26" xfId="0" applyNumberFormat="1" applyFont="1" applyFill="1" applyBorder="1" applyAlignment="1">
      <alignment horizontal="center" vertical="center"/>
    </xf>
    <xf numFmtId="44" fontId="5" fillId="5" borderId="28" xfId="0" applyNumberFormat="1" applyFont="1" applyFill="1" applyBorder="1" applyAlignment="1">
      <alignment horizontal="center" vertical="center"/>
    </xf>
    <xf numFmtId="44" fontId="0" fillId="0" borderId="0" xfId="1" applyFont="1"/>
    <xf numFmtId="44" fontId="14" fillId="0" borderId="0" xfId="1" applyFont="1"/>
    <xf numFmtId="9" fontId="5" fillId="0" borderId="56" xfId="2" applyFont="1" applyBorder="1" applyAlignment="1">
      <alignment horizontal="center" vertical="center" wrapText="1"/>
    </xf>
    <xf numFmtId="9" fontId="5" fillId="3" borderId="28" xfId="2" applyFont="1" applyFill="1" applyBorder="1" applyAlignment="1">
      <alignment horizontal="center"/>
    </xf>
    <xf numFmtId="9" fontId="4" fillId="3" borderId="22" xfId="2" applyFont="1" applyFill="1" applyBorder="1"/>
    <xf numFmtId="9" fontId="4" fillId="3" borderId="24" xfId="2" applyFont="1" applyFill="1" applyBorder="1"/>
    <xf numFmtId="9" fontId="4" fillId="3" borderId="4" xfId="2" applyFont="1" applyFill="1" applyBorder="1"/>
    <xf numFmtId="9" fontId="4" fillId="3" borderId="17" xfId="2" applyFont="1" applyFill="1" applyBorder="1"/>
    <xf numFmtId="9" fontId="6" fillId="2" borderId="13" xfId="2" applyFont="1" applyFill="1" applyBorder="1"/>
    <xf numFmtId="9" fontId="5" fillId="6" borderId="28" xfId="2" applyFont="1" applyFill="1" applyBorder="1" applyAlignment="1">
      <alignment horizontal="center"/>
    </xf>
    <xf numFmtId="9" fontId="6" fillId="6" borderId="28" xfId="2" applyFont="1" applyFill="1" applyBorder="1"/>
    <xf numFmtId="9" fontId="5" fillId="5" borderId="28" xfId="2" applyFont="1" applyFill="1" applyBorder="1" applyAlignment="1">
      <alignment horizontal="center" vertical="center"/>
    </xf>
    <xf numFmtId="9" fontId="5" fillId="4" borderId="6" xfId="2" applyFont="1" applyFill="1" applyBorder="1" applyAlignment="1">
      <alignment horizontal="center" vertical="center"/>
    </xf>
    <xf numFmtId="9" fontId="4" fillId="4" borderId="4" xfId="2" applyFont="1" applyFill="1" applyBorder="1"/>
    <xf numFmtId="9" fontId="4" fillId="4" borderId="1" xfId="2" applyFont="1" applyFill="1" applyBorder="1"/>
    <xf numFmtId="9" fontId="27" fillId="0" borderId="0" xfId="2" applyFont="1"/>
    <xf numFmtId="0" fontId="4" fillId="3" borderId="53" xfId="0" applyFont="1" applyFill="1" applyBorder="1"/>
    <xf numFmtId="0" fontId="4" fillId="3" borderId="54" xfId="0" applyFont="1" applyFill="1" applyBorder="1"/>
    <xf numFmtId="0" fontId="4" fillId="3" borderId="60" xfId="0" applyFont="1" applyFill="1" applyBorder="1"/>
    <xf numFmtId="0" fontId="4" fillId="3" borderId="53" xfId="0" applyFont="1" applyFill="1" applyBorder="1" applyAlignment="1">
      <alignment horizontal="right"/>
    </xf>
    <xf numFmtId="0" fontId="4" fillId="3" borderId="54" xfId="0" applyFont="1" applyFill="1" applyBorder="1" applyAlignment="1">
      <alignment horizontal="right"/>
    </xf>
    <xf numFmtId="0" fontId="4" fillId="3" borderId="60" xfId="0" applyFont="1" applyFill="1" applyBorder="1" applyAlignment="1">
      <alignment horizontal="right"/>
    </xf>
    <xf numFmtId="0" fontId="4" fillId="6" borderId="53" xfId="0" applyFont="1" applyFill="1" applyBorder="1" applyAlignment="1">
      <alignment horizontal="right"/>
    </xf>
    <xf numFmtId="0" fontId="4" fillId="6" borderId="54" xfId="0" applyFont="1" applyFill="1" applyBorder="1" applyAlignment="1">
      <alignment horizontal="right"/>
    </xf>
    <xf numFmtId="0" fontId="4" fillId="6" borderId="54" xfId="0" applyFont="1" applyFill="1" applyBorder="1"/>
    <xf numFmtId="0" fontId="4" fillId="6" borderId="60" xfId="0" applyFont="1" applyFill="1" applyBorder="1"/>
    <xf numFmtId="0" fontId="6" fillId="6" borderId="26" xfId="0" applyFont="1" applyFill="1" applyBorder="1"/>
    <xf numFmtId="0" fontId="5" fillId="4" borderId="26" xfId="0" applyFont="1" applyFill="1" applyBorder="1" applyAlignment="1">
      <alignment horizontal="center" vertical="center"/>
    </xf>
    <xf numFmtId="0" fontId="4" fillId="4" borderId="53" xfId="0" applyFont="1" applyFill="1" applyBorder="1"/>
    <xf numFmtId="0" fontId="4" fillId="4" borderId="54" xfId="0" applyFont="1" applyFill="1" applyBorder="1"/>
    <xf numFmtId="0" fontId="4" fillId="4" borderId="60" xfId="0" applyFont="1" applyFill="1" applyBorder="1"/>
    <xf numFmtId="0" fontId="3" fillId="4" borderId="26" xfId="0" applyFont="1" applyFill="1" applyBorder="1"/>
    <xf numFmtId="44" fontId="6" fillId="3" borderId="5" xfId="0" applyNumberFormat="1" applyFont="1" applyFill="1" applyBorder="1"/>
    <xf numFmtId="44" fontId="4" fillId="3" borderId="11" xfId="0" applyNumberFormat="1" applyFont="1" applyFill="1" applyBorder="1"/>
    <xf numFmtId="44" fontId="6" fillId="2" borderId="12" xfId="0" applyNumberFormat="1" applyFont="1" applyFill="1" applyBorder="1"/>
    <xf numFmtId="9" fontId="4" fillId="2" borderId="0" xfId="2" applyFont="1" applyFill="1" applyBorder="1"/>
    <xf numFmtId="44" fontId="4" fillId="6" borderId="55" xfId="0" applyNumberFormat="1" applyFont="1" applyFill="1" applyBorder="1" applyAlignment="1">
      <alignment horizontal="right"/>
    </xf>
    <xf numFmtId="44" fontId="4" fillId="6" borderId="62" xfId="0" applyNumberFormat="1" applyFont="1" applyFill="1" applyBorder="1" applyAlignment="1">
      <alignment horizontal="right"/>
    </xf>
    <xf numFmtId="44" fontId="6" fillId="6" borderId="26" xfId="0" applyNumberFormat="1" applyFont="1" applyFill="1" applyBorder="1"/>
    <xf numFmtId="44" fontId="5" fillId="2" borderId="15" xfId="0" applyNumberFormat="1" applyFont="1" applyFill="1" applyBorder="1" applyAlignment="1">
      <alignment horizontal="center" vertical="center"/>
    </xf>
    <xf numFmtId="9" fontId="5" fillId="2" borderId="0" xfId="2" applyFont="1" applyFill="1" applyBorder="1" applyAlignment="1">
      <alignment horizontal="center" vertical="center"/>
    </xf>
    <xf numFmtId="44" fontId="5" fillId="2" borderId="16" xfId="0" applyNumberFormat="1" applyFont="1" applyFill="1" applyBorder="1" applyAlignment="1">
      <alignment horizontal="center" vertical="center"/>
    </xf>
    <xf numFmtId="44" fontId="4" fillId="2" borderId="15" xfId="0" applyNumberFormat="1" applyFont="1" applyFill="1" applyBorder="1" applyAlignment="1">
      <alignment horizontal="right"/>
    </xf>
    <xf numFmtId="9" fontId="4" fillId="2" borderId="0" xfId="2" applyFont="1" applyFill="1" applyBorder="1" applyAlignment="1">
      <alignment horizontal="right"/>
    </xf>
    <xf numFmtId="44" fontId="4" fillId="2" borderId="16" xfId="0" applyNumberFormat="1" applyFont="1" applyFill="1" applyBorder="1" applyAlignment="1">
      <alignment horizontal="right"/>
    </xf>
    <xf numFmtId="44" fontId="5" fillId="4" borderId="26" xfId="0" applyNumberFormat="1" applyFont="1" applyFill="1" applyBorder="1" applyAlignment="1">
      <alignment horizontal="center" vertical="center"/>
    </xf>
    <xf numFmtId="44" fontId="5" fillId="4" borderId="29" xfId="0" applyNumberFormat="1" applyFont="1" applyFill="1" applyBorder="1" applyAlignment="1">
      <alignment horizontal="center" vertical="center"/>
    </xf>
    <xf numFmtId="44" fontId="3" fillId="4" borderId="5" xfId="0" applyNumberFormat="1" applyFont="1" applyFill="1" applyBorder="1"/>
    <xf numFmtId="44" fontId="3" fillId="4" borderId="27" xfId="0" applyNumberFormat="1" applyFont="1" applyFill="1" applyBorder="1"/>
    <xf numFmtId="44" fontId="6" fillId="3" borderId="26" xfId="0" applyNumberFormat="1" applyFont="1" applyFill="1" applyBorder="1"/>
    <xf numFmtId="9" fontId="6" fillId="2" borderId="0" xfId="2" applyFont="1" applyFill="1" applyBorder="1"/>
    <xf numFmtId="0" fontId="6" fillId="2" borderId="15" xfId="0" applyFont="1" applyFill="1" applyBorder="1"/>
    <xf numFmtId="44" fontId="6" fillId="2" borderId="15" xfId="0" applyNumberFormat="1" applyFont="1" applyFill="1" applyBorder="1"/>
    <xf numFmtId="44" fontId="6" fillId="2" borderId="16" xfId="0" applyNumberFormat="1" applyFont="1" applyFill="1" applyBorder="1"/>
    <xf numFmtId="9" fontId="6" fillId="3" borderId="6" xfId="2" applyFont="1" applyFill="1" applyBorder="1"/>
    <xf numFmtId="49" fontId="5" fillId="0" borderId="12" xfId="0" applyNumberFormat="1" applyFont="1" applyBorder="1" applyAlignment="1">
      <alignment horizontal="center" vertical="center" wrapText="1"/>
    </xf>
    <xf numFmtId="0" fontId="4" fillId="6" borderId="54" xfId="0" applyFont="1" applyFill="1" applyBorder="1" applyAlignment="1">
      <alignment horizontal="left" vertical="center"/>
    </xf>
    <xf numFmtId="44" fontId="4" fillId="5" borderId="32" xfId="0" applyNumberFormat="1" applyFont="1" applyFill="1" applyBorder="1" applyAlignment="1">
      <alignment horizontal="left" vertical="center"/>
    </xf>
    <xf numFmtId="44" fontId="3" fillId="4" borderId="6" xfId="0" applyNumberFormat="1" applyFont="1" applyFill="1" applyBorder="1"/>
    <xf numFmtId="9" fontId="3" fillId="4" borderId="6" xfId="2" applyFont="1" applyFill="1" applyBorder="1"/>
    <xf numFmtId="9" fontId="6" fillId="3" borderId="5" xfId="2" applyFont="1" applyFill="1" applyBorder="1"/>
    <xf numFmtId="0" fontId="4" fillId="6" borderId="60" xfId="0" applyFont="1" applyFill="1" applyBorder="1" applyAlignment="1">
      <alignment horizontal="left" vertical="center"/>
    </xf>
    <xf numFmtId="9" fontId="6" fillId="6" borderId="28" xfId="2" applyFont="1" applyFill="1" applyBorder="1" applyAlignment="1">
      <alignment horizontal="right"/>
    </xf>
    <xf numFmtId="9" fontId="4" fillId="6" borderId="1" xfId="2" applyFont="1" applyFill="1" applyBorder="1" applyAlignment="1">
      <alignment horizontal="right"/>
    </xf>
    <xf numFmtId="9" fontId="4" fillId="6" borderId="8" xfId="2" applyFont="1" applyFill="1" applyBorder="1" applyAlignment="1">
      <alignment horizontal="right"/>
    </xf>
    <xf numFmtId="9" fontId="4" fillId="5" borderId="39" xfId="2" applyFont="1" applyFill="1" applyBorder="1" applyAlignment="1">
      <alignment horizontal="right" vertical="center"/>
    </xf>
    <xf numFmtId="9" fontId="6" fillId="5" borderId="28" xfId="2" applyFont="1" applyFill="1" applyBorder="1" applyAlignment="1">
      <alignment horizontal="right" vertical="top"/>
    </xf>
    <xf numFmtId="0" fontId="4" fillId="4" borderId="15" xfId="0" applyFont="1" applyFill="1" applyBorder="1"/>
    <xf numFmtId="44" fontId="4" fillId="4" borderId="9" xfId="0" applyNumberFormat="1" applyFont="1" applyFill="1" applyBorder="1"/>
    <xf numFmtId="9" fontId="4" fillId="4" borderId="10" xfId="2" applyFont="1" applyFill="1" applyBorder="1"/>
    <xf numFmtId="44" fontId="4" fillId="4" borderId="11" xfId="0" applyNumberFormat="1" applyFont="1" applyFill="1" applyBorder="1"/>
    <xf numFmtId="44" fontId="4" fillId="4" borderId="58" xfId="0" applyNumberFormat="1" applyFont="1" applyFill="1" applyBorder="1"/>
    <xf numFmtId="44" fontId="3" fillId="4" borderId="29" xfId="0" applyNumberFormat="1" applyFont="1" applyFill="1" applyBorder="1"/>
    <xf numFmtId="44" fontId="4" fillId="5" borderId="63" xfId="0" applyNumberFormat="1" applyFont="1" applyFill="1" applyBorder="1" applyAlignment="1">
      <alignment horizontal="left" vertical="center"/>
    </xf>
    <xf numFmtId="44" fontId="4" fillId="5" borderId="41" xfId="0" applyNumberFormat="1" applyFont="1" applyFill="1" applyBorder="1" applyAlignment="1">
      <alignment horizontal="left" vertical="center"/>
    </xf>
    <xf numFmtId="44" fontId="4" fillId="5" borderId="41" xfId="0" applyNumberFormat="1" applyFont="1" applyFill="1" applyBorder="1" applyAlignment="1">
      <alignment horizontal="left"/>
    </xf>
    <xf numFmtId="44" fontId="4" fillId="5" borderId="41" xfId="0" applyNumberFormat="1" applyFont="1" applyFill="1" applyBorder="1" applyAlignment="1">
      <alignment horizontal="right"/>
    </xf>
    <xf numFmtId="44" fontId="4" fillId="5" borderId="41" xfId="0" applyNumberFormat="1" applyFont="1" applyFill="1" applyBorder="1" applyAlignment="1">
      <alignment horizontal="right" vertical="center"/>
    </xf>
    <xf numFmtId="0" fontId="40" fillId="0" borderId="0" xfId="0" applyFont="1"/>
    <xf numFmtId="44" fontId="40" fillId="0" borderId="0" xfId="1" applyFont="1"/>
    <xf numFmtId="0" fontId="41" fillId="0" borderId="0" xfId="0" applyFont="1"/>
    <xf numFmtId="44" fontId="14" fillId="0" borderId="0" xfId="0" applyNumberFormat="1" applyFont="1"/>
    <xf numFmtId="44" fontId="0" fillId="0" borderId="0" xfId="1" applyFont="1" applyAlignment="1">
      <alignment horizontal="left" indent="1"/>
    </xf>
    <xf numFmtId="44" fontId="27" fillId="0" borderId="0" xfId="1" applyFont="1" applyAlignment="1">
      <alignment horizontal="left" indent="1"/>
    </xf>
    <xf numFmtId="44" fontId="0" fillId="0" borderId="0" xfId="1" applyFont="1" applyFill="1"/>
    <xf numFmtId="44" fontId="27" fillId="0" borderId="0" xfId="2" applyNumberFormat="1" applyFont="1"/>
    <xf numFmtId="44" fontId="4" fillId="5" borderId="42" xfId="0" applyNumberFormat="1" applyFont="1" applyFill="1" applyBorder="1" applyAlignment="1">
      <alignment horizontal="left"/>
    </xf>
    <xf numFmtId="0" fontId="6" fillId="5" borderId="26" xfId="0" applyFont="1" applyFill="1" applyBorder="1" applyAlignment="1">
      <alignment horizontal="left" vertical="top"/>
    </xf>
    <xf numFmtId="0" fontId="6" fillId="6" borderId="54" xfId="0" applyFont="1" applyFill="1" applyBorder="1" applyAlignment="1">
      <alignment horizontal="left"/>
    </xf>
    <xf numFmtId="9" fontId="6" fillId="6" borderId="1" xfId="2" applyFont="1" applyFill="1" applyBorder="1" applyAlignment="1">
      <alignment horizontal="right"/>
    </xf>
    <xf numFmtId="44" fontId="6" fillId="6" borderId="55" xfId="0" applyNumberFormat="1" applyFont="1" applyFill="1" applyBorder="1" applyAlignment="1">
      <alignment horizontal="right"/>
    </xf>
    <xf numFmtId="0" fontId="6" fillId="6" borderId="60" xfId="0" applyFont="1" applyFill="1" applyBorder="1"/>
    <xf numFmtId="0" fontId="6" fillId="6" borderId="60" xfId="0" applyFont="1" applyFill="1" applyBorder="1" applyAlignment="1">
      <alignment horizontal="left" vertical="center"/>
    </xf>
    <xf numFmtId="0" fontId="6" fillId="3" borderId="60" xfId="0" applyFont="1" applyFill="1" applyBorder="1" applyAlignment="1">
      <alignment horizontal="left"/>
    </xf>
    <xf numFmtId="9" fontId="6" fillId="3" borderId="17" xfId="2" applyFont="1" applyFill="1" applyBorder="1"/>
    <xf numFmtId="44" fontId="6" fillId="3" borderId="33" xfId="0" applyNumberFormat="1" applyFont="1" applyFill="1" applyBorder="1"/>
    <xf numFmtId="44" fontId="6" fillId="3" borderId="31" xfId="0" applyNumberFormat="1" applyFont="1" applyFill="1" applyBorder="1"/>
    <xf numFmtId="44" fontId="6" fillId="3" borderId="51" xfId="0" applyNumberFormat="1" applyFont="1" applyFill="1" applyBorder="1"/>
    <xf numFmtId="44" fontId="6" fillId="0" borderId="0" xfId="1" applyFont="1"/>
    <xf numFmtId="44" fontId="6" fillId="5" borderId="42" xfId="0" applyNumberFormat="1" applyFont="1" applyFill="1" applyBorder="1" applyAlignment="1">
      <alignment horizontal="left" vertical="center"/>
    </xf>
    <xf numFmtId="9" fontId="6" fillId="5" borderId="39" xfId="2" applyFont="1" applyFill="1" applyBorder="1" applyAlignment="1">
      <alignment horizontal="right" vertical="center"/>
    </xf>
    <xf numFmtId="44" fontId="6" fillId="5" borderId="32" xfId="0" applyNumberFormat="1" applyFont="1" applyFill="1" applyBorder="1" applyAlignment="1">
      <alignment horizontal="left" vertical="center"/>
    </xf>
    <xf numFmtId="0" fontId="42" fillId="0" borderId="0" xfId="0" applyFont="1"/>
    <xf numFmtId="44" fontId="42" fillId="0" borderId="0" xfId="1" applyFont="1"/>
    <xf numFmtId="0" fontId="9" fillId="3" borderId="54" xfId="0" applyFont="1" applyFill="1" applyBorder="1"/>
    <xf numFmtId="9" fontId="9" fillId="3" borderId="22" xfId="2" applyFont="1" applyFill="1" applyBorder="1"/>
    <xf numFmtId="44" fontId="9" fillId="3" borderId="32" xfId="0" applyNumberFormat="1" applyFont="1" applyFill="1" applyBorder="1"/>
    <xf numFmtId="0" fontId="9" fillId="3" borderId="54" xfId="0" applyFont="1" applyFill="1" applyBorder="1" applyAlignment="1">
      <alignment horizontal="right"/>
    </xf>
    <xf numFmtId="44" fontId="4" fillId="2" borderId="59" xfId="0" applyNumberFormat="1" applyFont="1" applyFill="1" applyBorder="1"/>
    <xf numFmtId="44" fontId="5" fillId="2" borderId="59" xfId="0" applyNumberFormat="1" applyFont="1" applyFill="1" applyBorder="1" applyAlignment="1">
      <alignment horizontal="center" vertical="center"/>
    </xf>
    <xf numFmtId="44" fontId="5" fillId="6" borderId="27" xfId="0" applyNumberFormat="1" applyFont="1" applyFill="1" applyBorder="1" applyAlignment="1">
      <alignment horizontal="center"/>
    </xf>
    <xf numFmtId="44" fontId="6" fillId="6" borderId="27" xfId="0" applyNumberFormat="1" applyFont="1" applyFill="1" applyBorder="1" applyAlignment="1">
      <alignment horizontal="left"/>
    </xf>
    <xf numFmtId="44" fontId="4" fillId="6" borderId="30" xfId="0" applyNumberFormat="1" applyFont="1" applyFill="1" applyBorder="1" applyAlignment="1">
      <alignment horizontal="right"/>
    </xf>
    <xf numFmtId="44" fontId="6" fillId="6" borderId="30" xfId="0" applyNumberFormat="1" applyFont="1" applyFill="1" applyBorder="1"/>
    <xf numFmtId="44" fontId="4" fillId="6" borderId="30" xfId="0" applyNumberFormat="1" applyFont="1" applyFill="1" applyBorder="1" applyAlignment="1">
      <alignment horizontal="left"/>
    </xf>
    <xf numFmtId="44" fontId="4" fillId="6" borderId="30" xfId="0" applyNumberFormat="1" applyFont="1" applyFill="1" applyBorder="1" applyAlignment="1">
      <alignment horizontal="left" vertical="center"/>
    </xf>
    <xf numFmtId="44" fontId="4" fillId="6" borderId="31" xfId="0" applyNumberFormat="1" applyFont="1" applyFill="1" applyBorder="1" applyAlignment="1">
      <alignment horizontal="left" vertical="center"/>
    </xf>
    <xf numFmtId="44" fontId="4" fillId="6" borderId="57" xfId="0" applyNumberFormat="1" applyFont="1" applyFill="1" applyBorder="1" applyAlignment="1">
      <alignment horizontal="right"/>
    </xf>
    <xf numFmtId="44" fontId="6" fillId="6" borderId="57" xfId="0" applyNumberFormat="1" applyFont="1" applyFill="1" applyBorder="1" applyAlignment="1">
      <alignment horizontal="right"/>
    </xf>
    <xf numFmtId="44" fontId="6" fillId="6" borderId="51" xfId="0" applyNumberFormat="1" applyFont="1" applyFill="1" applyBorder="1"/>
    <xf numFmtId="44" fontId="4" fillId="6" borderId="57" xfId="0" applyNumberFormat="1" applyFont="1" applyFill="1" applyBorder="1" applyAlignment="1">
      <alignment horizontal="left"/>
    </xf>
    <xf numFmtId="44" fontId="4" fillId="6" borderId="57" xfId="0" applyNumberFormat="1" applyFont="1" applyFill="1" applyBorder="1" applyAlignment="1">
      <alignment horizontal="left" vertical="center"/>
    </xf>
    <xf numFmtId="44" fontId="4" fillId="2" borderId="56" xfId="0" applyNumberFormat="1" applyFont="1" applyFill="1" applyBorder="1" applyAlignment="1">
      <alignment horizontal="right"/>
    </xf>
    <xf numFmtId="44" fontId="4" fillId="2" borderId="59" xfId="0" applyNumberFormat="1" applyFont="1" applyFill="1" applyBorder="1" applyAlignment="1">
      <alignment horizontal="right"/>
    </xf>
    <xf numFmtId="44" fontId="5" fillId="0" borderId="27" xfId="0" applyNumberFormat="1" applyFont="1" applyBorder="1" applyAlignment="1">
      <alignment horizontal="center" vertical="center" wrapText="1"/>
    </xf>
    <xf numFmtId="44" fontId="5" fillId="3" borderId="27" xfId="0" applyNumberFormat="1" applyFont="1" applyFill="1" applyBorder="1" applyAlignment="1">
      <alignment horizontal="center"/>
    </xf>
    <xf numFmtId="44" fontId="6" fillId="3" borderId="64" xfId="0" applyNumberFormat="1" applyFont="1" applyFill="1" applyBorder="1"/>
    <xf numFmtId="44" fontId="9" fillId="3" borderId="57" xfId="0" applyNumberFormat="1" applyFont="1" applyFill="1" applyBorder="1"/>
    <xf numFmtId="44" fontId="6" fillId="5" borderId="27" xfId="0" applyNumberFormat="1" applyFont="1" applyFill="1" applyBorder="1" applyAlignment="1">
      <alignment horizontal="left" vertical="top"/>
    </xf>
    <xf numFmtId="44" fontId="4" fillId="5" borderId="50" xfId="0" applyNumberFormat="1" applyFont="1" applyFill="1" applyBorder="1" applyAlignment="1">
      <alignment horizontal="left" vertical="center"/>
    </xf>
    <xf numFmtId="44" fontId="4" fillId="5" borderId="57" xfId="0" applyNumberFormat="1" applyFont="1" applyFill="1" applyBorder="1" applyAlignment="1">
      <alignment horizontal="left"/>
    </xf>
    <xf numFmtId="44" fontId="4" fillId="5" borderId="52" xfId="0" applyNumberFormat="1" applyFont="1" applyFill="1" applyBorder="1" applyAlignment="1">
      <alignment horizontal="right"/>
    </xf>
    <xf numFmtId="44" fontId="4" fillId="5" borderId="57" xfId="0" applyNumberFormat="1" applyFont="1" applyFill="1" applyBorder="1" applyAlignment="1">
      <alignment horizontal="right"/>
    </xf>
    <xf numFmtId="44" fontId="4" fillId="5" borderId="57" xfId="0" applyNumberFormat="1" applyFont="1" applyFill="1" applyBorder="1" applyAlignment="1">
      <alignment horizontal="right" vertical="center"/>
    </xf>
    <xf numFmtId="44" fontId="4" fillId="5" borderId="51" xfId="0" applyNumberFormat="1" applyFont="1" applyFill="1" applyBorder="1" applyAlignment="1">
      <alignment horizontal="left" vertical="center"/>
    </xf>
    <xf numFmtId="44" fontId="4" fillId="5" borderId="49" xfId="0" applyNumberFormat="1" applyFont="1" applyFill="1" applyBorder="1" applyAlignment="1">
      <alignment horizontal="left"/>
    </xf>
    <xf numFmtId="0" fontId="4" fillId="6" borderId="57" xfId="0" applyFont="1" applyFill="1" applyBorder="1"/>
    <xf numFmtId="0" fontId="4" fillId="6" borderId="51" xfId="0" applyFont="1" applyFill="1" applyBorder="1"/>
    <xf numFmtId="44" fontId="4" fillId="4" borderId="41" xfId="0" applyNumberFormat="1" applyFont="1" applyFill="1" applyBorder="1"/>
    <xf numFmtId="44" fontId="4" fillId="4" borderId="42" xfId="0" applyNumberFormat="1" applyFont="1" applyFill="1" applyBorder="1"/>
    <xf numFmtId="44" fontId="3" fillId="4" borderId="64" xfId="0" applyNumberFormat="1" applyFont="1" applyFill="1" applyBorder="1"/>
    <xf numFmtId="44" fontId="4" fillId="4" borderId="65" xfId="0" applyNumberFormat="1" applyFont="1" applyFill="1" applyBorder="1"/>
    <xf numFmtId="44" fontId="5" fillId="4" borderId="64" xfId="0" applyNumberFormat="1" applyFont="1" applyFill="1" applyBorder="1" applyAlignment="1">
      <alignment horizontal="center" vertical="center"/>
    </xf>
    <xf numFmtId="44" fontId="5" fillId="4" borderId="28" xfId="0" applyNumberFormat="1" applyFont="1" applyFill="1" applyBorder="1" applyAlignment="1">
      <alignment horizontal="center" vertical="center"/>
    </xf>
    <xf numFmtId="0" fontId="4" fillId="6" borderId="54" xfId="0" applyFont="1" applyFill="1" applyBorder="1" applyAlignment="1">
      <alignment horizontal="left"/>
    </xf>
    <xf numFmtId="0" fontId="40" fillId="0" borderId="0" xfId="0" applyFont="1" applyAlignment="1">
      <alignment wrapText="1"/>
    </xf>
    <xf numFmtId="0" fontId="5" fillId="3" borderId="26" xfId="0" applyFont="1" applyFill="1" applyBorder="1" applyAlignment="1">
      <alignment horizontal="center" vertical="center"/>
    </xf>
    <xf numFmtId="0" fontId="6" fillId="5" borderId="54" xfId="0" applyFont="1" applyFill="1" applyBorder="1" applyAlignment="1">
      <alignment horizontal="left"/>
    </xf>
    <xf numFmtId="44" fontId="6" fillId="6" borderId="57" xfId="0" applyNumberFormat="1" applyFont="1" applyFill="1" applyBorder="1" applyAlignment="1">
      <alignment horizontal="left"/>
    </xf>
    <xf numFmtId="0" fontId="4" fillId="5" borderId="60" xfId="0" applyFont="1" applyFill="1" applyBorder="1" applyAlignment="1">
      <alignment horizontal="left" vertical="center"/>
    </xf>
    <xf numFmtId="44" fontId="4" fillId="5" borderId="42" xfId="0" applyNumberFormat="1" applyFont="1" applyFill="1" applyBorder="1" applyAlignment="1">
      <alignment horizontal="left" vertical="center"/>
    </xf>
    <xf numFmtId="44" fontId="9" fillId="4" borderId="50" xfId="0" applyNumberFormat="1" applyFont="1" applyFill="1" applyBorder="1"/>
    <xf numFmtId="44" fontId="9" fillId="4" borderId="41" xfId="0" applyNumberFormat="1" applyFont="1" applyFill="1" applyBorder="1"/>
    <xf numFmtId="9" fontId="9" fillId="4" borderId="1" xfId="2" applyFont="1" applyFill="1" applyBorder="1"/>
    <xf numFmtId="44" fontId="9" fillId="4" borderId="33" xfId="0" applyNumberFormat="1" applyFont="1" applyFill="1" applyBorder="1"/>
    <xf numFmtId="44" fontId="9" fillId="4" borderId="51" xfId="1" applyFont="1" applyFill="1" applyBorder="1"/>
    <xf numFmtId="44" fontId="4" fillId="3" borderId="53" xfId="0" applyNumberFormat="1" applyFont="1" applyFill="1" applyBorder="1"/>
    <xf numFmtId="44" fontId="4" fillId="3" borderId="54" xfId="0" applyNumberFormat="1" applyFont="1" applyFill="1" applyBorder="1"/>
    <xf numFmtId="44" fontId="4" fillId="3" borderId="60" xfId="0" applyNumberFormat="1" applyFont="1" applyFill="1" applyBorder="1"/>
    <xf numFmtId="44" fontId="9" fillId="3" borderId="54" xfId="0" applyNumberFormat="1" applyFont="1" applyFill="1" applyBorder="1"/>
    <xf numFmtId="44" fontId="3" fillId="3" borderId="60" xfId="0" applyNumberFormat="1" applyFont="1" applyFill="1" applyBorder="1"/>
    <xf numFmtId="44" fontId="9" fillId="4" borderId="53" xfId="0" applyNumberFormat="1" applyFont="1" applyFill="1" applyBorder="1"/>
    <xf numFmtId="44" fontId="4" fillId="4" borderId="54" xfId="0" applyNumberFormat="1" applyFont="1" applyFill="1" applyBorder="1"/>
    <xf numFmtId="44" fontId="4" fillId="4" borderId="60" xfId="0" applyNumberFormat="1" applyFont="1" applyFill="1" applyBorder="1"/>
    <xf numFmtId="44" fontId="3" fillId="4" borderId="26" xfId="0" applyNumberFormat="1" applyFont="1" applyFill="1" applyBorder="1"/>
    <xf numFmtId="44" fontId="4" fillId="4" borderId="15" xfId="0" applyNumberFormat="1" applyFont="1" applyFill="1" applyBorder="1"/>
    <xf numFmtId="44" fontId="4" fillId="6" borderId="62" xfId="0" applyNumberFormat="1" applyFont="1" applyFill="1" applyBorder="1"/>
    <xf numFmtId="44" fontId="9" fillId="6" borderId="62" xfId="0" applyNumberFormat="1" applyFont="1" applyFill="1" applyBorder="1"/>
    <xf numFmtId="44" fontId="4" fillId="6" borderId="55" xfId="0" applyNumberFormat="1" applyFont="1" applyFill="1" applyBorder="1" applyAlignment="1">
      <alignment horizontal="left" vertical="center"/>
    </xf>
    <xf numFmtId="44" fontId="4" fillId="6" borderId="50" xfId="0" applyNumberFormat="1" applyFont="1" applyFill="1" applyBorder="1" applyAlignment="1">
      <alignment horizontal="right"/>
    </xf>
    <xf numFmtId="44" fontId="6" fillId="6" borderId="19" xfId="0" applyNumberFormat="1" applyFont="1" applyFill="1" applyBorder="1"/>
    <xf numFmtId="44" fontId="4" fillId="6" borderId="55" xfId="0" applyNumberFormat="1" applyFont="1" applyFill="1" applyBorder="1"/>
    <xf numFmtId="44" fontId="4" fillId="6" borderId="49" xfId="0" applyNumberFormat="1" applyFont="1" applyFill="1" applyBorder="1" applyAlignment="1">
      <alignment horizontal="left" vertical="center"/>
    </xf>
    <xf numFmtId="44" fontId="4" fillId="6" borderId="57" xfId="1" applyFont="1" applyFill="1" applyBorder="1" applyAlignment="1">
      <alignment horizontal="right"/>
    </xf>
    <xf numFmtId="44" fontId="4" fillId="5" borderId="62" xfId="0" applyNumberFormat="1" applyFont="1" applyFill="1" applyBorder="1" applyAlignment="1">
      <alignment horizontal="left" vertical="center"/>
    </xf>
    <xf numFmtId="44" fontId="6" fillId="5" borderId="62" xfId="0" applyNumberFormat="1" applyFont="1" applyFill="1" applyBorder="1" applyAlignment="1">
      <alignment horizontal="left" vertical="center"/>
    </xf>
    <xf numFmtId="44" fontId="4" fillId="5" borderId="62" xfId="0" applyNumberFormat="1" applyFont="1" applyFill="1" applyBorder="1" applyAlignment="1">
      <alignment horizontal="left"/>
    </xf>
    <xf numFmtId="44" fontId="4" fillId="5" borderId="68" xfId="0" applyNumberFormat="1" applyFont="1" applyFill="1" applyBorder="1" applyAlignment="1">
      <alignment horizontal="left" vertical="center"/>
    </xf>
    <xf numFmtId="44" fontId="4" fillId="5" borderId="55" xfId="0" applyNumberFormat="1" applyFont="1" applyFill="1" applyBorder="1" applyAlignment="1">
      <alignment horizontal="left" vertical="center"/>
    </xf>
    <xf numFmtId="44" fontId="4" fillId="5" borderId="55" xfId="0" applyNumberFormat="1" applyFont="1" applyFill="1" applyBorder="1" applyAlignment="1">
      <alignment horizontal="left"/>
    </xf>
    <xf numFmtId="44" fontId="4" fillId="5" borderId="61" xfId="0" applyNumberFormat="1" applyFont="1" applyFill="1" applyBorder="1" applyAlignment="1">
      <alignment horizontal="right"/>
    </xf>
    <xf numFmtId="44" fontId="4" fillId="5" borderId="55" xfId="0" applyNumberFormat="1" applyFont="1" applyFill="1" applyBorder="1" applyAlignment="1">
      <alignment horizontal="right"/>
    </xf>
    <xf numFmtId="44" fontId="4" fillId="5" borderId="55" xfId="0" applyNumberFormat="1" applyFont="1" applyFill="1" applyBorder="1" applyAlignment="1">
      <alignment horizontal="right" vertical="center"/>
    </xf>
    <xf numFmtId="44" fontId="9" fillId="4" borderId="57" xfId="0" applyNumberFormat="1" applyFont="1" applyFill="1" applyBorder="1"/>
    <xf numFmtId="44" fontId="3" fillId="5" borderId="27" xfId="0" applyNumberFormat="1" applyFont="1" applyFill="1" applyBorder="1"/>
    <xf numFmtId="44" fontId="5" fillId="0" borderId="1" xfId="0" applyNumberFormat="1" applyFont="1" applyBorder="1" applyAlignment="1">
      <alignment horizontal="center" vertical="center"/>
    </xf>
    <xf numFmtId="44" fontId="0" fillId="0" borderId="0" xfId="0" applyNumberFormat="1" applyAlignment="1">
      <alignment wrapText="1"/>
    </xf>
    <xf numFmtId="44" fontId="5" fillId="3" borderId="27" xfId="0" applyNumberFormat="1" applyFont="1" applyFill="1" applyBorder="1" applyAlignment="1">
      <alignment horizontal="center" wrapText="1"/>
    </xf>
    <xf numFmtId="44" fontId="4" fillId="3" borderId="61" xfId="0" applyNumberFormat="1" applyFont="1" applyFill="1" applyBorder="1"/>
    <xf numFmtId="44" fontId="9" fillId="3" borderId="55" xfId="0" applyNumberFormat="1" applyFont="1" applyFill="1" applyBorder="1"/>
    <xf numFmtId="44" fontId="4" fillId="3" borderId="55" xfId="0" applyNumberFormat="1" applyFont="1" applyFill="1" applyBorder="1"/>
    <xf numFmtId="44" fontId="4" fillId="3" borderId="55" xfId="0" applyNumberFormat="1" applyFont="1" applyFill="1" applyBorder="1" applyAlignment="1">
      <alignment horizontal="left"/>
    </xf>
    <xf numFmtId="44" fontId="4" fillId="3" borderId="62" xfId="0" applyNumberFormat="1" applyFont="1" applyFill="1" applyBorder="1"/>
    <xf numFmtId="44" fontId="6" fillId="3" borderId="27" xfId="0" applyNumberFormat="1" applyFont="1" applyFill="1" applyBorder="1"/>
    <xf numFmtId="10" fontId="45" fillId="3" borderId="62" xfId="0" applyNumberFormat="1" applyFont="1" applyFill="1" applyBorder="1" applyAlignment="1">
      <alignment horizontal="left"/>
    </xf>
    <xf numFmtId="44" fontId="6" fillId="3" borderId="27" xfId="1" applyFont="1" applyFill="1" applyBorder="1"/>
    <xf numFmtId="44" fontId="6" fillId="2" borderId="0" xfId="0" applyNumberFormat="1" applyFont="1" applyFill="1"/>
    <xf numFmtId="44" fontId="6" fillId="2" borderId="16" xfId="1" applyFont="1" applyFill="1" applyBorder="1"/>
    <xf numFmtId="44" fontId="4" fillId="6" borderId="27" xfId="0" applyNumberFormat="1" applyFont="1" applyFill="1" applyBorder="1"/>
    <xf numFmtId="44" fontId="4" fillId="6" borderId="61" xfId="0" applyNumberFormat="1" applyFont="1" applyFill="1" applyBorder="1"/>
    <xf numFmtId="44" fontId="43" fillId="6" borderId="55" xfId="0" applyNumberFormat="1" applyFont="1" applyFill="1" applyBorder="1"/>
    <xf numFmtId="44" fontId="5" fillId="2" borderId="0" xfId="0" applyNumberFormat="1" applyFont="1" applyFill="1" applyAlignment="1">
      <alignment horizontal="center" vertical="center"/>
    </xf>
    <xf numFmtId="44" fontId="3" fillId="2" borderId="16" xfId="0" applyNumberFormat="1" applyFont="1" applyFill="1" applyBorder="1"/>
    <xf numFmtId="44" fontId="4" fillId="5" borderId="61" xfId="0" applyNumberFormat="1" applyFont="1" applyFill="1" applyBorder="1" applyAlignment="1">
      <alignment horizontal="left"/>
    </xf>
    <xf numFmtId="6" fontId="4" fillId="5" borderId="55" xfId="0" applyNumberFormat="1" applyFont="1" applyFill="1" applyBorder="1" applyAlignment="1">
      <alignment horizontal="left"/>
    </xf>
    <xf numFmtId="44" fontId="3" fillId="5" borderId="55" xfId="0" applyNumberFormat="1" applyFont="1" applyFill="1" applyBorder="1" applyAlignment="1">
      <alignment horizontal="left" vertical="center"/>
    </xf>
    <xf numFmtId="44" fontId="4" fillId="5" borderId="61" xfId="0" applyNumberFormat="1" applyFont="1" applyFill="1" applyBorder="1"/>
    <xf numFmtId="44" fontId="4" fillId="5" borderId="55" xfId="0" applyNumberFormat="1" applyFont="1" applyFill="1" applyBorder="1"/>
    <xf numFmtId="44" fontId="4" fillId="5" borderId="62" xfId="0" applyNumberFormat="1" applyFont="1" applyFill="1" applyBorder="1"/>
    <xf numFmtId="44" fontId="4" fillId="2" borderId="0" xfId="0" applyNumberFormat="1" applyFont="1" applyFill="1" applyAlignment="1">
      <alignment horizontal="right"/>
    </xf>
    <xf numFmtId="44" fontId="6" fillId="4" borderId="27" xfId="0" applyNumberFormat="1" applyFont="1" applyFill="1" applyBorder="1"/>
    <xf numFmtId="44" fontId="4" fillId="4" borderId="61" xfId="0" applyNumberFormat="1" applyFont="1" applyFill="1" applyBorder="1"/>
    <xf numFmtId="6" fontId="9" fillId="4" borderId="55" xfId="0" applyNumberFormat="1" applyFont="1" applyFill="1" applyBorder="1" applyAlignment="1">
      <alignment horizontal="left"/>
    </xf>
    <xf numFmtId="6" fontId="4" fillId="4" borderId="55" xfId="0" applyNumberFormat="1" applyFont="1" applyFill="1" applyBorder="1" applyAlignment="1">
      <alignment horizontal="left"/>
    </xf>
    <xf numFmtId="44" fontId="4" fillId="4" borderId="55" xfId="0" applyNumberFormat="1" applyFont="1" applyFill="1" applyBorder="1"/>
    <xf numFmtId="6" fontId="43" fillId="4" borderId="55" xfId="0" applyNumberFormat="1" applyFont="1" applyFill="1" applyBorder="1" applyAlignment="1">
      <alignment horizontal="left"/>
    </xf>
    <xf numFmtId="44" fontId="4" fillId="4" borderId="62" xfId="0" applyNumberFormat="1" applyFont="1" applyFill="1" applyBorder="1"/>
    <xf numFmtId="44" fontId="4" fillId="4" borderId="16" xfId="0" applyNumberFormat="1" applyFont="1" applyFill="1" applyBorder="1"/>
    <xf numFmtId="0" fontId="33" fillId="0" borderId="2" xfId="0" applyFont="1" applyBorder="1" applyAlignment="1">
      <alignment vertical="center"/>
    </xf>
    <xf numFmtId="44" fontId="5" fillId="0" borderId="33" xfId="0" applyNumberFormat="1" applyFont="1" applyBorder="1" applyAlignment="1">
      <alignment horizontal="center" vertical="center"/>
    </xf>
    <xf numFmtId="0" fontId="46" fillId="0" borderId="2" xfId="0" applyFont="1" applyBorder="1" applyAlignment="1">
      <alignment vertical="center"/>
    </xf>
    <xf numFmtId="44" fontId="4" fillId="0" borderId="33" xfId="0" applyNumberFormat="1" applyFont="1" applyBorder="1" applyAlignment="1">
      <alignment horizontal="right" vertical="center"/>
    </xf>
    <xf numFmtId="0" fontId="46" fillId="0" borderId="2" xfId="0" applyFont="1" applyBorder="1" applyAlignment="1">
      <alignment vertical="center" wrapText="1"/>
    </xf>
    <xf numFmtId="0" fontId="46" fillId="0" borderId="35" xfId="0" applyFont="1" applyBorder="1" applyAlignment="1">
      <alignment vertical="center"/>
    </xf>
    <xf numFmtId="44" fontId="4" fillId="0" borderId="36" xfId="0" applyNumberFormat="1" applyFont="1" applyBorder="1" applyAlignment="1">
      <alignment horizontal="right" vertical="center"/>
    </xf>
    <xf numFmtId="0" fontId="4" fillId="5" borderId="67" xfId="0" applyFont="1" applyFill="1" applyBorder="1" applyAlignment="1">
      <alignment horizontal="left" vertical="center"/>
    </xf>
    <xf numFmtId="0" fontId="4" fillId="5" borderId="54" xfId="0" applyFont="1" applyFill="1" applyBorder="1" applyAlignment="1">
      <alignment horizontal="left" vertical="center"/>
    </xf>
    <xf numFmtId="0" fontId="4" fillId="5" borderId="54" xfId="0" applyFont="1" applyFill="1" applyBorder="1" applyAlignment="1">
      <alignment horizontal="left"/>
    </xf>
    <xf numFmtId="0" fontId="4" fillId="5" borderId="53" xfId="0" applyFont="1" applyFill="1" applyBorder="1" applyAlignment="1">
      <alignment horizontal="right"/>
    </xf>
    <xf numFmtId="0" fontId="4" fillId="5" borderId="54" xfId="0" applyFont="1" applyFill="1" applyBorder="1" applyAlignment="1">
      <alignment horizontal="right"/>
    </xf>
    <xf numFmtId="0" fontId="4" fillId="5" borderId="54" xfId="0" applyFont="1" applyFill="1" applyBorder="1" applyAlignment="1">
      <alignment horizontal="right" vertical="center"/>
    </xf>
    <xf numFmtId="0" fontId="4" fillId="5" borderId="60" xfId="0" applyFont="1" applyFill="1" applyBorder="1" applyAlignment="1">
      <alignment horizontal="left"/>
    </xf>
    <xf numFmtId="44" fontId="4" fillId="3" borderId="50" xfId="0" applyNumberFormat="1" applyFont="1" applyFill="1" applyBorder="1"/>
    <xf numFmtId="44" fontId="44" fillId="6" borderId="57" xfId="0" applyNumberFormat="1" applyFont="1" applyFill="1" applyBorder="1"/>
    <xf numFmtId="44" fontId="6" fillId="6" borderId="57" xfId="0" applyNumberFormat="1" applyFont="1" applyFill="1" applyBorder="1"/>
    <xf numFmtId="44" fontId="4" fillId="6" borderId="51" xfId="0" applyNumberFormat="1" applyFont="1" applyFill="1" applyBorder="1" applyAlignment="1">
      <alignment horizontal="left" vertical="center"/>
    </xf>
    <xf numFmtId="44" fontId="6" fillId="6" borderId="49" xfId="0" applyNumberFormat="1" applyFont="1" applyFill="1" applyBorder="1" applyAlignment="1">
      <alignment horizontal="left" vertical="center"/>
    </xf>
    <xf numFmtId="44" fontId="6" fillId="5" borderId="51" xfId="0" applyNumberFormat="1" applyFont="1" applyFill="1" applyBorder="1" applyAlignment="1">
      <alignment horizontal="left" vertical="center"/>
    </xf>
    <xf numFmtId="44" fontId="4" fillId="5" borderId="51" xfId="0" applyNumberFormat="1" applyFont="1" applyFill="1" applyBorder="1" applyAlignment="1">
      <alignment horizontal="left"/>
    </xf>
    <xf numFmtId="44" fontId="6" fillId="6" borderId="1" xfId="0" applyNumberFormat="1" applyFont="1" applyFill="1" applyBorder="1" applyAlignment="1">
      <alignment horizontal="right"/>
    </xf>
    <xf numFmtId="44" fontId="6" fillId="6" borderId="1" xfId="0" applyNumberFormat="1" applyFont="1" applyFill="1" applyBorder="1"/>
    <xf numFmtId="44" fontId="6" fillId="6" borderId="41" xfId="0" applyNumberFormat="1" applyFont="1" applyFill="1" applyBorder="1" applyAlignment="1">
      <alignment horizontal="right"/>
    </xf>
    <xf numFmtId="44" fontId="6" fillId="6" borderId="41" xfId="0" applyNumberFormat="1" applyFont="1" applyFill="1" applyBorder="1"/>
    <xf numFmtId="44" fontId="4" fillId="6" borderId="72" xfId="0" applyNumberFormat="1" applyFont="1" applyFill="1" applyBorder="1" applyAlignment="1">
      <alignment horizontal="right"/>
    </xf>
    <xf numFmtId="9" fontId="6" fillId="6" borderId="70" xfId="2" applyFont="1" applyFill="1" applyBorder="1" applyAlignment="1">
      <alignment horizontal="right"/>
    </xf>
    <xf numFmtId="44" fontId="4" fillId="6" borderId="68" xfId="0" applyNumberFormat="1" applyFont="1" applyFill="1" applyBorder="1" applyAlignment="1">
      <alignment horizontal="right"/>
    </xf>
    <xf numFmtId="44" fontId="6" fillId="6" borderId="33" xfId="0" applyNumberFormat="1" applyFont="1" applyFill="1" applyBorder="1" applyAlignment="1">
      <alignment horizontal="right"/>
    </xf>
    <xf numFmtId="9" fontId="6" fillId="6" borderId="33" xfId="2" applyFont="1" applyFill="1" applyBorder="1" applyAlignment="1">
      <alignment horizontal="right"/>
    </xf>
    <xf numFmtId="9" fontId="4" fillId="6" borderId="33" xfId="2" applyFont="1" applyFill="1" applyBorder="1" applyAlignment="1">
      <alignment horizontal="right"/>
    </xf>
    <xf numFmtId="44" fontId="6" fillId="6" borderId="40" xfId="0" applyNumberFormat="1" applyFont="1" applyFill="1" applyBorder="1" applyAlignment="1">
      <alignment horizontal="left" vertical="center"/>
    </xf>
    <xf numFmtId="9" fontId="6" fillId="6" borderId="73" xfId="2" applyFont="1" applyFill="1" applyBorder="1" applyAlignment="1">
      <alignment horizontal="right"/>
    </xf>
    <xf numFmtId="44" fontId="6" fillId="6" borderId="66" xfId="0" applyNumberFormat="1" applyFont="1" applyFill="1" applyBorder="1" applyAlignment="1">
      <alignment horizontal="right"/>
    </xf>
    <xf numFmtId="0" fontId="45" fillId="6" borderId="54" xfId="0" applyFont="1" applyFill="1" applyBorder="1" applyAlignment="1">
      <alignment horizontal="left"/>
    </xf>
    <xf numFmtId="44" fontId="47" fillId="6" borderId="57" xfId="0" applyNumberFormat="1" applyFont="1" applyFill="1" applyBorder="1"/>
    <xf numFmtId="44" fontId="9" fillId="6" borderId="57" xfId="1" applyFont="1" applyFill="1" applyBorder="1" applyAlignment="1">
      <alignment horizontal="right"/>
    </xf>
    <xf numFmtId="44" fontId="6" fillId="2" borderId="56" xfId="1" applyFont="1" applyFill="1" applyBorder="1"/>
    <xf numFmtId="0" fontId="47" fillId="6" borderId="60" xfId="0" applyFont="1" applyFill="1" applyBorder="1"/>
    <xf numFmtId="44" fontId="47" fillId="6" borderId="51" xfId="0" applyNumberFormat="1" applyFont="1" applyFill="1" applyBorder="1"/>
    <xf numFmtId="44" fontId="4" fillId="4" borderId="55" xfId="0" applyNumberFormat="1" applyFont="1" applyFill="1" applyBorder="1" applyAlignment="1">
      <alignment horizontal="left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30" fillId="8" borderId="18" xfId="0" applyFont="1" applyFill="1" applyBorder="1" applyAlignment="1">
      <alignment horizontal="center" vertical="center"/>
    </xf>
    <xf numFmtId="0" fontId="30" fillId="8" borderId="19" xfId="0" applyFont="1" applyFill="1" applyBorder="1" applyAlignment="1">
      <alignment horizontal="center" vertical="center"/>
    </xf>
    <xf numFmtId="0" fontId="30" fillId="8" borderId="47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/>
    </xf>
    <xf numFmtId="0" fontId="24" fillId="10" borderId="12" xfId="0" applyFont="1" applyFill="1" applyBorder="1" applyAlignment="1">
      <alignment horizontal="center" vertical="center" wrapText="1"/>
    </xf>
    <xf numFmtId="0" fontId="24" fillId="10" borderId="13" xfId="0" applyFont="1" applyFill="1" applyBorder="1" applyAlignment="1">
      <alignment horizontal="center" vertical="center" wrapText="1"/>
    </xf>
    <xf numFmtId="0" fontId="24" fillId="10" borderId="14" xfId="0" applyFont="1" applyFill="1" applyBorder="1" applyAlignment="1">
      <alignment horizontal="center" vertical="center" wrapText="1"/>
    </xf>
    <xf numFmtId="0" fontId="24" fillId="10" borderId="18" xfId="0" applyFont="1" applyFill="1" applyBorder="1" applyAlignment="1">
      <alignment horizontal="center" vertical="center" wrapText="1"/>
    </xf>
    <xf numFmtId="0" fontId="24" fillId="10" borderId="19" xfId="0" applyFont="1" applyFill="1" applyBorder="1" applyAlignment="1">
      <alignment horizontal="center" vertical="center" wrapText="1"/>
    </xf>
    <xf numFmtId="0" fontId="24" fillId="10" borderId="20" xfId="0" applyFont="1" applyFill="1" applyBorder="1" applyAlignment="1">
      <alignment horizontal="center" vertical="center" wrapText="1"/>
    </xf>
    <xf numFmtId="0" fontId="25" fillId="7" borderId="44" xfId="0" applyFont="1" applyFill="1" applyBorder="1" applyAlignment="1">
      <alignment horizontal="center" vertical="center" wrapText="1"/>
    </xf>
    <xf numFmtId="0" fontId="25" fillId="7" borderId="46" xfId="0" applyFont="1" applyFill="1" applyBorder="1" applyAlignment="1">
      <alignment horizontal="center" vertical="center" wrapText="1"/>
    </xf>
    <xf numFmtId="0" fontId="30" fillId="8" borderId="12" xfId="0" applyFont="1" applyFill="1" applyBorder="1" applyAlignment="1">
      <alignment horizontal="center" vertical="center"/>
    </xf>
    <xf numFmtId="0" fontId="30" fillId="8" borderId="13" xfId="0" applyFont="1" applyFill="1" applyBorder="1" applyAlignment="1">
      <alignment horizontal="center" vertical="center"/>
    </xf>
    <xf numFmtId="0" fontId="30" fillId="8" borderId="14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</cellXfs>
  <cellStyles count="3">
    <cellStyle name="Currency" xfId="1" builtinId="4"/>
    <cellStyle name="Normal" xfId="0" builtinId="0"/>
    <cellStyle name="Percent" xfId="2" builtinId="5"/>
  </cellStyles>
  <dxfs count="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14" formatCode="0.00%"/>
      <border diagonalUp="0" diagonalDown="0" outline="0">
        <left/>
        <right/>
        <top/>
        <bottom/>
      </border>
    </dxf>
    <dxf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border diagonalUp="0" diagonalDown="0" outline="0">
        <left/>
        <right/>
        <top/>
        <bottom/>
      </border>
    </dxf>
    <dxf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numFmt numFmtId="34" formatCode="_(&quot;$&quot;* #,##0.00_);_(&quot;$&quot;* \(#,##0.00\);_(&quot;$&quot;* &quot;-&quot;??_);_(@_)"/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family val="2"/>
        <scheme val="minor"/>
      </font>
      <border diagonalUp="0" diagonalDown="0" outline="0">
        <left style="medium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border diagonalUp="0" diagonalDown="0">
        <left style="medium">
          <color indexed="64"/>
        </left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border outline="0">
        <top style="medium">
          <color indexed="64"/>
        </top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0"/>
        <color theme="1"/>
        <name val="Calibri"/>
        <family val="2"/>
        <scheme val="minor"/>
      </font>
      <numFmt numFmtId="30" formatCode="@"/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tie Hamilton" id="{7A90110A-3323-5E4A-A08E-0D92932A2507}" userId="S::katie@gtcnc.org::e111bb72-8ca4-4dd6-92ec-f59aeb513d43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DF65F2-4C8E-344E-8878-6381B3FAF7EE}" name="Table1" displayName="Table1" ref="A1:P99" totalsRowCount="1" headerRowDxfId="32" dataDxfId="31" totalsRowDxfId="29" tableBorderDxfId="30">
  <autoFilter ref="A1:P98" xr:uid="{0F33310C-B177-4540-95E5-7028328D913D}"/>
  <tableColumns count="16">
    <tableColumn id="1" xr3:uid="{A1E5F769-B4E8-EC45-8C80-69E1BFD8B9AF}" name="ACCOUNT" dataDxfId="28" totalsRowDxfId="27"/>
    <tableColumn id="2" xr3:uid="{E90F4BF6-FBFA-F54F-A1BB-0F54F4D58BF3}" name="Approved 2016" dataDxfId="26" totalsRowDxfId="25"/>
    <tableColumn id="3" xr3:uid="{8D779673-A70A-5D4B-BE71-0C3F2963C85F}" name="Approved 2017" dataDxfId="24" totalsRowDxfId="23"/>
    <tableColumn id="4" xr3:uid="{ABB6CE4A-8506-8248-8C0B-CDD25E59D5D3}" name="Approved 2018" dataDxfId="22" totalsRowDxfId="21"/>
    <tableColumn id="5" xr3:uid="{1A238E80-FD03-B04B-ACC0-BA916B70FC1F}" name="Approved 2019" dataDxfId="20" totalsRowDxfId="19"/>
    <tableColumn id="11" xr3:uid="{C3142DCA-8C53-824D-9955-53C9A66D82A0}" name="Ameneded FY 2019" dataDxfId="18" totalsRowDxfId="17"/>
    <tableColumn id="9" xr3:uid="{89376079-5D11-4147-A42E-3C9C811AFB87}" name="Acutal 2019" dataDxfId="16" totalsRowDxfId="15"/>
    <tableColumn id="6" xr3:uid="{B052A657-37A8-F04B-B72A-551B49E3AFAA}" name="Approved FY 2020" dataDxfId="14" totalsRowDxfId="13"/>
    <tableColumn id="16" xr3:uid="{6619C658-0239-AC46-B73B-B4F743C1CE08}" name="Amended FY 2020" totalsRowDxfId="12"/>
    <tableColumn id="10" xr3:uid="{56020A9B-3B72-CE44-B6D6-0FB1C1923762}" name="Actual FY 2020" dataDxfId="11" totalsRowDxfId="10"/>
    <tableColumn id="7" xr3:uid="{99DF025D-D4BC-8048-93EC-3B2F4F460087}" name="PROPOSED FY 2021" dataDxfId="9" totalsRowDxfId="8"/>
    <tableColumn id="12" xr3:uid="{58AE62C9-9413-C449-B902-3F6206475D62}" name="PROPOSED FY 2021 WITH 14 % REDUCTION" dataDxfId="7" totalsRowDxfId="6">
      <calculatedColumnFormula>Table1[[#This Row],[PROPOSED FY 2021]]*14%</calculatedColumnFormula>
    </tableColumn>
    <tableColumn id="13" xr3:uid="{0445BD92-619B-2D47-A818-14A783F8512D}" name="$  OF REDUCTION" totalsRowDxfId="5"/>
    <tableColumn id="14" xr3:uid="{AE626BF1-1A69-8140-901E-913F6CEB8308}" name="% OF REDUCTION " dataDxfId="4" totalsRowDxfId="3"/>
    <tableColumn id="15" xr3:uid="{687AC44B-5B96-9748-948A-F83FA8DE421D}" name="PROPOSED FY 2021 WITH 11 % REDUCTION" totalsRowFunction="custom" totalsRowDxfId="2">
      <totalsRowFormula>L97-O97</totalsRowFormula>
    </tableColumn>
    <tableColumn id="17" xr3:uid="{F801F153-F8C7-4E40-8D91-D9DE73DCE688}" name="Notes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0-02-21T03:02:25.66" personId="{7A90110A-3323-5E4A-A08E-0D92932A2507}" id="{AA371A59-12CF-5F48-B395-5B2D42D9A627}">
    <text xml:space="preserve">Workers Comp
Unemployment Insurance
Liability Insurance
</text>
  </threadedComment>
  <threadedComment ref="C8" dT="2020-03-04T15:33:23.87" personId="{7A90110A-3323-5E4A-A08E-0D92932A2507}" id="{926177E7-F1BE-BC40-9712-8D1A3F643948}">
    <text>Paid Rent with AFY 2016</text>
  </threadedComment>
  <threadedComment ref="D8" dT="2020-03-04T14:50:14.47" personId="{7A90110A-3323-5E4A-A08E-0D92932A2507}" id="{8149047B-4CCC-9340-8B9B-1816DA56A587}">
    <text xml:space="preserve">Paid with AFY 17 Funds
</text>
  </threadedComment>
  <threadedComment ref="E8" dT="2020-03-04T14:33:00.74" personId="{7A90110A-3323-5E4A-A08E-0D92932A2507}" id="{F7B2A585-7FFC-2C40-A9D6-F64235C68C24}">
    <text xml:space="preserve">Rent was paid with AFY 18 Dollars
</text>
  </threadedComment>
  <threadedComment ref="K19" dT="2020-03-06T16:47:34.84" personId="{7A90110A-3323-5E4A-A08E-0D92932A2507}" id="{28079495-A381-FD42-B443-673F1A198AF6}">
    <text xml:space="preserve">System Improvement RTAC budget 1,000 for MIFI’s
</text>
  </threadedComment>
  <threadedComment ref="E52" dT="2020-03-04T14:35:32.17" personId="{7A90110A-3323-5E4A-A08E-0D92932A2507}" id="{FB2204F1-5375-F140-9BFD-98E49B0BAA90}">
    <text xml:space="preserve">Paid with AFY 18
</text>
  </threadedComment>
  <threadedComment ref="D64" dT="2020-03-04T15:16:36.51" personId="{7A90110A-3323-5E4A-A08E-0D92932A2507}" id="{00503C47-FE4B-8A42-ADFF-6B6603CB2A76}">
    <text xml:space="preserve">Used AFY 17 Dollars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A5" dT="2020-02-21T03:02:25.66" personId="{7A90110A-3323-5E4A-A08E-0D92932A2507}" id="{9E29D9A6-DF64-194F-A344-2CD629605F7B}">
    <text xml:space="preserve">Workers Comp
Unemployment Insurance
Liability Insurance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F3D9A-93DA-A74A-847B-CB74CD977A30}">
  <sheetPr>
    <tabColor rgb="FF0070C0"/>
  </sheetPr>
  <dimension ref="A1:Z115"/>
  <sheetViews>
    <sheetView zoomScale="91" zoomScaleNormal="80" workbookViewId="0">
      <pane ySplit="1" topLeftCell="A5" activePane="bottomLeft" state="frozen"/>
      <selection pane="bottomLeft" activeCell="Q23" sqref="Q23"/>
    </sheetView>
  </sheetViews>
  <sheetFormatPr baseColWidth="10" defaultRowHeight="24" x14ac:dyDescent="0.3"/>
  <cols>
    <col min="1" max="1" width="58.6640625" style="11" bestFit="1" customWidth="1"/>
    <col min="2" max="2" width="25.6640625" style="98" hidden="1" customWidth="1"/>
    <col min="3" max="5" width="28.33203125" style="11" hidden="1" customWidth="1"/>
    <col min="6" max="6" width="34.1640625" style="11" hidden="1" customWidth="1"/>
    <col min="7" max="7" width="26.5" style="100" hidden="1" customWidth="1"/>
    <col min="8" max="8" width="51" style="11" customWidth="1"/>
    <col min="9" max="9" width="34.5" style="11" customWidth="1"/>
    <col min="10" max="10" width="24.5" style="11" customWidth="1"/>
    <col min="11" max="11" width="36.5" style="98" hidden="1" customWidth="1"/>
    <col min="12" max="13" width="36.5" style="11" hidden="1" customWidth="1"/>
    <col min="14" max="15" width="36.5" style="175" hidden="1" customWidth="1"/>
    <col min="16" max="16" width="98.83203125" style="11" customWidth="1"/>
    <col min="17" max="17" width="14.83203125" style="11" bestFit="1" customWidth="1"/>
    <col min="18" max="22" width="10.83203125" style="11"/>
    <col min="23" max="23" width="51.33203125" style="11" customWidth="1"/>
    <col min="24" max="26" width="10.83203125" style="11"/>
    <col min="27" max="27" width="64" style="11" customWidth="1"/>
    <col min="28" max="16384" width="10.83203125" style="11"/>
  </cols>
  <sheetData>
    <row r="1" spans="1:16" s="1" customFormat="1" ht="51" customHeight="1" thickBot="1" x14ac:dyDescent="0.25">
      <c r="A1" s="103" t="s">
        <v>5</v>
      </c>
      <c r="B1" s="104" t="s">
        <v>6</v>
      </c>
      <c r="C1" s="104" t="s">
        <v>7</v>
      </c>
      <c r="D1" s="104" t="s">
        <v>8</v>
      </c>
      <c r="E1" s="104" t="s">
        <v>9</v>
      </c>
      <c r="F1" s="104" t="s">
        <v>66</v>
      </c>
      <c r="G1" s="104" t="s">
        <v>59</v>
      </c>
      <c r="H1" s="104" t="s">
        <v>107</v>
      </c>
      <c r="I1" s="104" t="s">
        <v>105</v>
      </c>
      <c r="J1" s="264" t="s">
        <v>106</v>
      </c>
      <c r="K1" s="184" t="s">
        <v>85</v>
      </c>
      <c r="L1" s="105" t="s">
        <v>87</v>
      </c>
      <c r="M1" s="105" t="s">
        <v>89</v>
      </c>
      <c r="N1" s="157" t="s">
        <v>88</v>
      </c>
      <c r="O1" s="105" t="s">
        <v>104</v>
      </c>
      <c r="P1" s="303" t="s">
        <v>115</v>
      </c>
    </row>
    <row r="2" spans="1:16" s="6" customFormat="1" ht="27" thickBot="1" x14ac:dyDescent="0.35">
      <c r="A2" s="2" t="s">
        <v>69</v>
      </c>
      <c r="B2" s="3"/>
      <c r="C2" s="3"/>
      <c r="D2" s="3"/>
      <c r="E2" s="3"/>
      <c r="F2" s="3"/>
      <c r="G2" s="4"/>
      <c r="H2" s="3"/>
      <c r="I2" s="5"/>
      <c r="J2" s="227"/>
      <c r="K2" s="237"/>
      <c r="L2" s="225"/>
      <c r="M2" s="5"/>
      <c r="N2" s="226"/>
      <c r="O2" s="227"/>
    </row>
    <row r="3" spans="1:16" x14ac:dyDescent="0.3">
      <c r="A3" s="7" t="s">
        <v>0</v>
      </c>
      <c r="B3" s="8">
        <v>267795</v>
      </c>
      <c r="C3" s="8">
        <v>267795</v>
      </c>
      <c r="D3" s="8">
        <f>220132+105000</f>
        <v>325132</v>
      </c>
      <c r="E3" s="8">
        <f>105000+220132</f>
        <v>325132</v>
      </c>
      <c r="F3" s="8"/>
      <c r="G3" s="9">
        <v>302909.14</v>
      </c>
      <c r="H3" s="8">
        <f>224534+107100</f>
        <v>331634</v>
      </c>
      <c r="I3" s="10"/>
      <c r="J3" s="301">
        <f>193225.34</f>
        <v>193225.34</v>
      </c>
      <c r="K3" s="238">
        <f>391080</f>
        <v>391080</v>
      </c>
      <c r="L3" s="8">
        <f>Table1[[#This Row],[PROPOSED FY 2021]]</f>
        <v>391080</v>
      </c>
      <c r="M3" s="8"/>
      <c r="N3" s="220">
        <f>Table1[[#This Row],[$  OF REDUCTION]]/Table1[[#This Row],[PROPOSED FY 2021]]</f>
        <v>0</v>
      </c>
      <c r="O3" s="8">
        <v>391080</v>
      </c>
      <c r="P3" s="11" t="s">
        <v>114</v>
      </c>
    </row>
    <row r="4" spans="1:16" x14ac:dyDescent="0.3">
      <c r="A4" s="12" t="s">
        <v>1</v>
      </c>
      <c r="B4" s="13">
        <v>160125</v>
      </c>
      <c r="C4" s="13">
        <v>160125</v>
      </c>
      <c r="D4" s="13">
        <f>62784+131626</f>
        <v>194410</v>
      </c>
      <c r="E4" s="13">
        <f>131824+62878</f>
        <v>194702</v>
      </c>
      <c r="F4" s="13"/>
      <c r="G4" s="14">
        <v>177499.92</v>
      </c>
      <c r="H4" s="13">
        <f>132215+63065</f>
        <v>195280</v>
      </c>
      <c r="I4" s="15"/>
      <c r="J4" s="302">
        <v>112174.55</v>
      </c>
      <c r="K4" s="239">
        <v>226827</v>
      </c>
      <c r="L4" s="15">
        <f>Table1[[#This Row],[PROPOSED FY 2021]]</f>
        <v>226827</v>
      </c>
      <c r="M4" s="15"/>
      <c r="N4" s="156">
        <f>Table1[[#This Row],[$  OF REDUCTION]]/Table1[[#This Row],[PROPOSED FY 2021]]</f>
        <v>0</v>
      </c>
      <c r="O4" s="15">
        <v>226827</v>
      </c>
      <c r="P4" s="11" t="s">
        <v>114</v>
      </c>
    </row>
    <row r="5" spans="1:16" x14ac:dyDescent="0.3">
      <c r="A5" s="12" t="s">
        <v>4</v>
      </c>
      <c r="B5" s="13">
        <v>1848</v>
      </c>
      <c r="C5" s="13">
        <v>1848</v>
      </c>
      <c r="D5" s="13">
        <v>1848</v>
      </c>
      <c r="E5" s="13">
        <v>1848</v>
      </c>
      <c r="F5" s="13"/>
      <c r="G5" s="14">
        <v>20792.3</v>
      </c>
      <c r="H5" s="13">
        <v>1848</v>
      </c>
      <c r="I5" s="15"/>
      <c r="J5" s="266">
        <v>16229</v>
      </c>
      <c r="K5" s="239">
        <v>16229</v>
      </c>
      <c r="L5" s="15">
        <f>Table1[[#This Row],[PROPOSED FY 2021]]</f>
        <v>16229</v>
      </c>
      <c r="M5" s="15"/>
      <c r="N5" s="156">
        <f>Table1[[#This Row],[$  OF REDUCTION]]/Table1[[#This Row],[PROPOSED FY 2021]]</f>
        <v>0</v>
      </c>
      <c r="O5" s="15">
        <v>16229</v>
      </c>
    </row>
    <row r="6" spans="1:16" x14ac:dyDescent="0.3">
      <c r="A6" s="12" t="s">
        <v>2</v>
      </c>
      <c r="B6" s="13">
        <v>25000</v>
      </c>
      <c r="C6" s="13">
        <v>25000</v>
      </c>
      <c r="D6" s="13">
        <v>32000</v>
      </c>
      <c r="E6" s="13">
        <f>30000+25000</f>
        <v>55000</v>
      </c>
      <c r="F6" s="13"/>
      <c r="G6" s="14">
        <v>43931.77</v>
      </c>
      <c r="H6" s="13">
        <f>25000+30000</f>
        <v>55000</v>
      </c>
      <c r="I6" s="15"/>
      <c r="J6" s="266">
        <v>18079.45</v>
      </c>
      <c r="K6" s="239">
        <v>35000</v>
      </c>
      <c r="L6" s="15">
        <f>Table1[[#This Row],[PROPOSED FY 2021]]</f>
        <v>35000</v>
      </c>
      <c r="M6" s="15"/>
      <c r="N6" s="156">
        <f>Table1[[#This Row],[$  OF REDUCTION]]/Table1[[#This Row],[PROPOSED FY 2021]]</f>
        <v>0</v>
      </c>
      <c r="O6" s="15">
        <v>35000</v>
      </c>
    </row>
    <row r="7" spans="1:16" x14ac:dyDescent="0.3">
      <c r="A7" s="12" t="s">
        <v>3</v>
      </c>
      <c r="B7" s="13">
        <v>4500</v>
      </c>
      <c r="C7" s="13">
        <v>5000</v>
      </c>
      <c r="D7" s="13">
        <v>7000</v>
      </c>
      <c r="E7" s="13">
        <v>7000</v>
      </c>
      <c r="F7" s="13"/>
      <c r="G7" s="14">
        <v>5853.98</v>
      </c>
      <c r="H7" s="13">
        <v>7000</v>
      </c>
      <c r="I7" s="15"/>
      <c r="J7" s="266">
        <v>3750</v>
      </c>
      <c r="K7" s="239">
        <v>7000</v>
      </c>
      <c r="L7" s="15">
        <f>Table1[[#This Row],[PROPOSED FY 2021]]</f>
        <v>7000</v>
      </c>
      <c r="M7" s="15"/>
      <c r="N7" s="156">
        <f>Table1[[#This Row],[$  OF REDUCTION]]/Table1[[#This Row],[PROPOSED FY 2021]]</f>
        <v>0</v>
      </c>
      <c r="O7" s="15">
        <v>7000</v>
      </c>
    </row>
    <row r="8" spans="1:16" x14ac:dyDescent="0.3">
      <c r="A8" s="12" t="s">
        <v>10</v>
      </c>
      <c r="B8" s="13">
        <f>24450+2700</f>
        <v>27150</v>
      </c>
      <c r="C8" s="13">
        <v>2700</v>
      </c>
      <c r="D8" s="13">
        <v>1500</v>
      </c>
      <c r="E8" s="13">
        <v>1500</v>
      </c>
      <c r="F8" s="13"/>
      <c r="G8" s="14" t="s">
        <v>60</v>
      </c>
      <c r="H8" s="13">
        <f>24450+1500</f>
        <v>25950</v>
      </c>
      <c r="I8" s="15"/>
      <c r="J8" s="266">
        <v>24155.9</v>
      </c>
      <c r="K8" s="239">
        <v>35950</v>
      </c>
      <c r="L8" s="15">
        <f>Table1[[#This Row],[PROPOSED FY 2021]]</f>
        <v>35950</v>
      </c>
      <c r="M8" s="15"/>
      <c r="N8" s="156">
        <f>Table1[[#This Row],[$  OF REDUCTION]]/Table1[[#This Row],[PROPOSED FY 2021]]</f>
        <v>0</v>
      </c>
      <c r="O8" s="15">
        <v>35950</v>
      </c>
    </row>
    <row r="9" spans="1:16" x14ac:dyDescent="0.3">
      <c r="A9" s="12" t="s">
        <v>22</v>
      </c>
      <c r="B9" s="13">
        <v>2000</v>
      </c>
      <c r="C9" s="13">
        <v>2000</v>
      </c>
      <c r="D9" s="13">
        <v>2000</v>
      </c>
      <c r="E9" s="13">
        <v>2000</v>
      </c>
      <c r="F9" s="13"/>
      <c r="G9" s="14">
        <v>2928.46</v>
      </c>
      <c r="H9" s="13">
        <v>4000</v>
      </c>
      <c r="I9" s="15"/>
      <c r="J9" s="266">
        <v>2427.0300000000002</v>
      </c>
      <c r="K9" s="239">
        <v>3000</v>
      </c>
      <c r="L9" s="15">
        <f>Table1[[#This Row],[PROPOSED FY 2021]]</f>
        <v>3000</v>
      </c>
      <c r="M9" s="15"/>
      <c r="N9" s="156">
        <f>Table1[[#This Row],[$  OF REDUCTION]]/Table1[[#This Row],[PROPOSED FY 2021]]</f>
        <v>0</v>
      </c>
      <c r="O9" s="15">
        <v>3000</v>
      </c>
    </row>
    <row r="10" spans="1:16" x14ac:dyDescent="0.3">
      <c r="A10" s="12" t="s">
        <v>23</v>
      </c>
      <c r="B10" s="13">
        <v>2000</v>
      </c>
      <c r="C10" s="13">
        <v>2000</v>
      </c>
      <c r="D10" s="13">
        <v>4000</v>
      </c>
      <c r="E10" s="13">
        <v>4000</v>
      </c>
      <c r="F10" s="13"/>
      <c r="G10" s="14">
        <v>2246.84</v>
      </c>
      <c r="H10" s="13">
        <v>4000</v>
      </c>
      <c r="I10" s="15"/>
      <c r="J10" s="266">
        <v>3899.92</v>
      </c>
      <c r="K10" s="239">
        <v>5000</v>
      </c>
      <c r="L10" s="15">
        <f>Table1[[#This Row],[PROPOSED FY 2021]]</f>
        <v>5000</v>
      </c>
      <c r="M10" s="15"/>
      <c r="N10" s="156">
        <f>Table1[[#This Row],[$  OF REDUCTION]]/Table1[[#This Row],[PROPOSED FY 2021]]</f>
        <v>0</v>
      </c>
      <c r="O10" s="15">
        <v>5000</v>
      </c>
    </row>
    <row r="11" spans="1:16" x14ac:dyDescent="0.3">
      <c r="A11" s="12" t="s">
        <v>24</v>
      </c>
      <c r="B11" s="13">
        <v>500</v>
      </c>
      <c r="C11" s="13">
        <v>500</v>
      </c>
      <c r="D11" s="13">
        <v>500</v>
      </c>
      <c r="E11" s="13">
        <v>500</v>
      </c>
      <c r="F11" s="13"/>
      <c r="G11" s="14">
        <v>460.7</v>
      </c>
      <c r="H11" s="13">
        <v>500</v>
      </c>
      <c r="I11" s="15"/>
      <c r="J11" s="266">
        <v>131.69999999999999</v>
      </c>
      <c r="K11" s="239">
        <v>500</v>
      </c>
      <c r="L11" s="15">
        <f>Table1[[#This Row],[PROPOSED FY 2021]]</f>
        <v>500</v>
      </c>
      <c r="M11" s="15"/>
      <c r="N11" s="156">
        <f>Table1[[#This Row],[$  OF REDUCTION]]/Table1[[#This Row],[PROPOSED FY 2021]]</f>
        <v>0</v>
      </c>
      <c r="O11" s="15">
        <v>500</v>
      </c>
    </row>
    <row r="12" spans="1:16" x14ac:dyDescent="0.3">
      <c r="A12" s="12" t="s">
        <v>25</v>
      </c>
      <c r="B12" s="13">
        <v>10000</v>
      </c>
      <c r="C12" s="13">
        <v>10000</v>
      </c>
      <c r="D12" s="13">
        <v>10000</v>
      </c>
      <c r="E12" s="13">
        <v>15000</v>
      </c>
      <c r="F12" s="13"/>
      <c r="G12" s="14">
        <v>18265.03</v>
      </c>
      <c r="H12" s="13">
        <v>15000</v>
      </c>
      <c r="I12" s="15"/>
      <c r="J12" s="266">
        <v>17315.169999999998</v>
      </c>
      <c r="K12" s="239">
        <v>15000</v>
      </c>
      <c r="L12" s="15">
        <f>Table1[[#This Row],[PROPOSED FY 2021]]</f>
        <v>15000</v>
      </c>
      <c r="M12" s="15"/>
      <c r="N12" s="156">
        <f>Table1[[#This Row],[$  OF REDUCTION]]/Table1[[#This Row],[PROPOSED FY 2021]]</f>
        <v>0</v>
      </c>
      <c r="O12" s="15">
        <v>15000</v>
      </c>
    </row>
    <row r="13" spans="1:16" x14ac:dyDescent="0.3">
      <c r="A13" s="12" t="s">
        <v>64</v>
      </c>
      <c r="B13" s="13"/>
      <c r="C13" s="13"/>
      <c r="D13" s="13"/>
      <c r="E13" s="13"/>
      <c r="F13" s="13"/>
      <c r="G13" s="14"/>
      <c r="H13" s="13"/>
      <c r="I13" s="15">
        <v>5000</v>
      </c>
      <c r="J13" s="266">
        <v>4400</v>
      </c>
      <c r="K13" s="239">
        <v>15000</v>
      </c>
      <c r="L13" s="15">
        <v>15000</v>
      </c>
      <c r="M13" s="15"/>
      <c r="N13" s="156">
        <f>Table1[[#This Row],[$  OF REDUCTION]]/Table1[[#This Row],[PROPOSED FY 2021]]</f>
        <v>0</v>
      </c>
      <c r="O13" s="15">
        <v>15000</v>
      </c>
    </row>
    <row r="14" spans="1:16" x14ac:dyDescent="0.3">
      <c r="A14" s="16" t="s">
        <v>86</v>
      </c>
      <c r="B14" s="17"/>
      <c r="C14" s="17"/>
      <c r="D14" s="17"/>
      <c r="E14" s="17"/>
      <c r="F14" s="152"/>
      <c r="G14" s="18"/>
      <c r="H14" s="17"/>
      <c r="I14" s="19">
        <v>5000</v>
      </c>
      <c r="J14" s="267">
        <v>5000</v>
      </c>
      <c r="K14" s="240"/>
      <c r="L14" s="13"/>
      <c r="M14" s="13"/>
      <c r="N14" s="156" t="e">
        <f>Table1[[#This Row],[$  OF REDUCTION]]/Table1[[#This Row],[PROPOSED FY 2021]]</f>
        <v>#DIV/0!</v>
      </c>
      <c r="O14" s="13"/>
    </row>
    <row r="15" spans="1:16" ht="25" thickBot="1" x14ac:dyDescent="0.35">
      <c r="A15" s="16"/>
      <c r="B15" s="17"/>
      <c r="C15" s="17"/>
      <c r="D15" s="17"/>
      <c r="E15" s="17"/>
      <c r="F15" s="17"/>
      <c r="G15" s="18"/>
      <c r="H15" s="17"/>
      <c r="I15" s="19"/>
      <c r="J15" s="267"/>
      <c r="K15" s="241"/>
      <c r="L15" s="19"/>
      <c r="M15" s="19"/>
      <c r="N15" s="156"/>
      <c r="O15" s="19"/>
    </row>
    <row r="16" spans="1:16" s="23" customFormat="1" ht="25" thickBot="1" x14ac:dyDescent="0.35">
      <c r="A16" s="20" t="s">
        <v>11</v>
      </c>
      <c r="B16" s="21">
        <f>SUM(B17:B19)</f>
        <v>22000</v>
      </c>
      <c r="C16" s="21">
        <f>SUM(C17:C19)</f>
        <v>16000</v>
      </c>
      <c r="D16" s="21">
        <f>SUM(D17:D19)</f>
        <v>16200</v>
      </c>
      <c r="E16" s="21">
        <f>SUM(E17:E19)</f>
        <v>18650</v>
      </c>
      <c r="F16" s="21"/>
      <c r="G16" s="21">
        <f>SUM(G17:G19)</f>
        <v>13783.36</v>
      </c>
      <c r="H16" s="21">
        <f>SUM(H17:H19)</f>
        <v>12850</v>
      </c>
      <c r="I16" s="21"/>
      <c r="J16" s="268">
        <f>SUM(J17:J19)</f>
        <v>13371.82</v>
      </c>
      <c r="K16" s="242">
        <f>SUM(K17:K19)</f>
        <v>14950</v>
      </c>
      <c r="L16" s="22">
        <f>Table1[[#This Row],[PROPOSED FY 2021]]</f>
        <v>14950</v>
      </c>
      <c r="M16" s="22"/>
      <c r="N16" s="156">
        <f>Table1[[#This Row],[$  OF REDUCTION]]/Table1[[#This Row],[PROPOSED FY 2021]]</f>
        <v>0</v>
      </c>
      <c r="O16" s="22">
        <f>SUM(O17:O19)</f>
        <v>14950</v>
      </c>
    </row>
    <row r="17" spans="1:15" x14ac:dyDescent="0.3">
      <c r="A17" s="24" t="s">
        <v>75</v>
      </c>
      <c r="B17" s="8">
        <v>12000</v>
      </c>
      <c r="C17" s="8">
        <v>6000</v>
      </c>
      <c r="D17" s="8">
        <v>6200</v>
      </c>
      <c r="E17" s="8">
        <v>8800</v>
      </c>
      <c r="F17" s="8"/>
      <c r="G17" s="9">
        <v>1705.09</v>
      </c>
      <c r="H17" s="8">
        <v>3000</v>
      </c>
      <c r="I17" s="10"/>
      <c r="J17" s="265">
        <v>1658.81</v>
      </c>
      <c r="K17" s="238">
        <v>3000</v>
      </c>
      <c r="L17" s="10">
        <f>Table1[[#This Row],[PROPOSED FY 2021]]</f>
        <v>3000</v>
      </c>
      <c r="M17" s="10"/>
      <c r="N17" s="156">
        <f>Table1[[#This Row],[$  OF REDUCTION]]/Table1[[#This Row],[PROPOSED FY 2021]]</f>
        <v>0</v>
      </c>
      <c r="O17" s="10">
        <v>3000</v>
      </c>
    </row>
    <row r="18" spans="1:15" x14ac:dyDescent="0.3">
      <c r="A18" s="25" t="s">
        <v>12</v>
      </c>
      <c r="B18" s="13">
        <v>6000</v>
      </c>
      <c r="C18" s="13">
        <v>6000</v>
      </c>
      <c r="D18" s="13">
        <v>5000</v>
      </c>
      <c r="E18" s="13">
        <v>4500</v>
      </c>
      <c r="F18" s="13"/>
      <c r="G18" s="14">
        <v>4489.53</v>
      </c>
      <c r="H18" s="13">
        <v>4500</v>
      </c>
      <c r="I18" s="15"/>
      <c r="J18" s="266">
        <v>4287.45</v>
      </c>
      <c r="K18" s="239">
        <f>4600+1800</f>
        <v>6400</v>
      </c>
      <c r="L18" s="15">
        <f>Table1[[#This Row],[PROPOSED FY 2021]]</f>
        <v>6400</v>
      </c>
      <c r="M18" s="15"/>
      <c r="N18" s="156">
        <f>Table1[[#This Row],[$  OF REDUCTION]]/Table1[[#This Row],[PROPOSED FY 2021]]</f>
        <v>0</v>
      </c>
      <c r="O18" s="15">
        <v>6400</v>
      </c>
    </row>
    <row r="19" spans="1:15" x14ac:dyDescent="0.3">
      <c r="A19" s="25" t="s">
        <v>13</v>
      </c>
      <c r="B19" s="13">
        <v>4000</v>
      </c>
      <c r="C19" s="13">
        <v>4000</v>
      </c>
      <c r="D19" s="13">
        <f>3750+1250</f>
        <v>5000</v>
      </c>
      <c r="E19" s="13">
        <v>5350</v>
      </c>
      <c r="F19" s="13"/>
      <c r="G19" s="14">
        <v>7588.74</v>
      </c>
      <c r="H19" s="13">
        <v>5350</v>
      </c>
      <c r="I19" s="15"/>
      <c r="J19" s="266">
        <v>7425.56</v>
      </c>
      <c r="K19" s="239">
        <v>5550</v>
      </c>
      <c r="L19" s="15">
        <f>Table1[[#This Row],[PROPOSED FY 2021]]</f>
        <v>5550</v>
      </c>
      <c r="M19" s="15"/>
      <c r="N19" s="156">
        <f>Table1[[#This Row],[$  OF REDUCTION]]/Table1[[#This Row],[PROPOSED FY 2021]]</f>
        <v>0</v>
      </c>
      <c r="O19" s="15">
        <v>5550</v>
      </c>
    </row>
    <row r="20" spans="1:15" ht="25" thickBot="1" x14ac:dyDescent="0.35">
      <c r="A20" s="26"/>
      <c r="B20" s="17"/>
      <c r="C20" s="17"/>
      <c r="D20" s="17"/>
      <c r="E20" s="17"/>
      <c r="F20" s="17"/>
      <c r="G20" s="18"/>
      <c r="H20" s="17"/>
      <c r="I20" s="19"/>
      <c r="J20" s="267"/>
      <c r="K20" s="241"/>
      <c r="L20" s="19"/>
      <c r="M20" s="19"/>
      <c r="N20" s="156"/>
      <c r="O20" s="19"/>
    </row>
    <row r="21" spans="1:15" s="23" customFormat="1" ht="25" thickBot="1" x14ac:dyDescent="0.35">
      <c r="A21" s="20" t="s">
        <v>62</v>
      </c>
      <c r="B21" s="21">
        <f>SUM(B22:B24)</f>
        <v>3550</v>
      </c>
      <c r="C21" s="21">
        <f>SUM(C22:C24)</f>
        <v>3550</v>
      </c>
      <c r="D21" s="21">
        <f>SUM(D22:D24)</f>
        <v>3600</v>
      </c>
      <c r="E21" s="21">
        <f>SUM(E22:E29)</f>
        <v>4750</v>
      </c>
      <c r="F21" s="21"/>
      <c r="G21" s="21">
        <f>SUM(G22:G29)</f>
        <v>7032.17</v>
      </c>
      <c r="H21" s="21">
        <f>SUM(H22:H29)</f>
        <v>4750</v>
      </c>
      <c r="I21" s="21"/>
      <c r="J21" s="268">
        <f>SUM(J22:J29)</f>
        <v>7943.4699999999993</v>
      </c>
      <c r="K21" s="242">
        <f>SUM(K22:K30)</f>
        <v>15670</v>
      </c>
      <c r="L21" s="22">
        <f>Table1[[#This Row],[PROPOSED FY 2021]]</f>
        <v>15670</v>
      </c>
      <c r="M21" s="22"/>
      <c r="N21" s="156">
        <f>Table1[[#This Row],[$  OF REDUCTION]]/Table1[[#This Row],[PROPOSED FY 2021]]</f>
        <v>0</v>
      </c>
      <c r="O21" s="22">
        <f>SUM(O22:O30)</f>
        <v>15670</v>
      </c>
    </row>
    <row r="22" spans="1:15" x14ac:dyDescent="0.3">
      <c r="A22" s="24" t="s">
        <v>14</v>
      </c>
      <c r="B22" s="8">
        <v>1300</v>
      </c>
      <c r="C22" s="8">
        <v>1300</v>
      </c>
      <c r="D22" s="8">
        <v>1350</v>
      </c>
      <c r="E22" s="8">
        <v>1300</v>
      </c>
      <c r="F22" s="8"/>
      <c r="G22" s="9">
        <v>1300</v>
      </c>
      <c r="H22" s="8">
        <v>1300</v>
      </c>
      <c r="I22" s="10"/>
      <c r="J22" s="265">
        <v>1300</v>
      </c>
      <c r="K22" s="243">
        <v>1300</v>
      </c>
      <c r="L22" s="101">
        <f>Table1[[#This Row],[PROPOSED FY 2021]]</f>
        <v>1300</v>
      </c>
      <c r="M22" s="101"/>
      <c r="N22" s="156">
        <f>Table1[[#This Row],[$  OF REDUCTION]]/Table1[[#This Row],[PROPOSED FY 2021]]</f>
        <v>0</v>
      </c>
      <c r="O22" s="101">
        <v>1300</v>
      </c>
    </row>
    <row r="23" spans="1:15" x14ac:dyDescent="0.3">
      <c r="A23" s="25" t="s">
        <v>15</v>
      </c>
      <c r="B23" s="13">
        <v>1500</v>
      </c>
      <c r="C23" s="13">
        <v>1500</v>
      </c>
      <c r="D23" s="13">
        <v>1500</v>
      </c>
      <c r="E23" s="13">
        <v>2700</v>
      </c>
      <c r="F23" s="13"/>
      <c r="G23" s="14">
        <v>2700</v>
      </c>
      <c r="H23" s="13">
        <v>2700</v>
      </c>
      <c r="I23" s="15"/>
      <c r="J23" s="266">
        <v>2098.5</v>
      </c>
      <c r="K23" s="244">
        <v>2700</v>
      </c>
      <c r="L23" s="102">
        <f>Table1[[#This Row],[PROPOSED FY 2021]]</f>
        <v>2700</v>
      </c>
      <c r="M23" s="102"/>
      <c r="N23" s="156">
        <f>Table1[[#This Row],[$  OF REDUCTION]]/Table1[[#This Row],[PROPOSED FY 2021]]</f>
        <v>0</v>
      </c>
      <c r="O23" s="102">
        <v>2700</v>
      </c>
    </row>
    <row r="24" spans="1:15" x14ac:dyDescent="0.3">
      <c r="A24" s="25" t="s">
        <v>16</v>
      </c>
      <c r="B24" s="13">
        <v>750</v>
      </c>
      <c r="C24" s="13">
        <v>750</v>
      </c>
      <c r="D24" s="13">
        <v>750</v>
      </c>
      <c r="E24" s="13">
        <v>750</v>
      </c>
      <c r="F24" s="13"/>
      <c r="G24" s="14">
        <v>750</v>
      </c>
      <c r="H24" s="13">
        <v>750</v>
      </c>
      <c r="I24" s="15"/>
      <c r="J24" s="266">
        <v>750</v>
      </c>
      <c r="K24" s="239">
        <v>750</v>
      </c>
      <c r="L24" s="15">
        <f>Table1[[#This Row],[PROPOSED FY 2021]]</f>
        <v>750</v>
      </c>
      <c r="M24" s="15"/>
      <c r="N24" s="156">
        <f>Table1[[#This Row],[$  OF REDUCTION]]/Table1[[#This Row],[PROPOSED FY 2021]]</f>
        <v>0</v>
      </c>
      <c r="O24" s="15">
        <v>750</v>
      </c>
    </row>
    <row r="25" spans="1:15" x14ac:dyDescent="0.3">
      <c r="A25" s="25" t="s">
        <v>68</v>
      </c>
      <c r="B25" s="13"/>
      <c r="C25" s="13"/>
      <c r="D25" s="13"/>
      <c r="E25" s="13"/>
      <c r="F25" s="13"/>
      <c r="G25" s="14"/>
      <c r="H25" s="13"/>
      <c r="I25" s="15"/>
      <c r="J25" s="266"/>
      <c r="K25" s="239">
        <v>120</v>
      </c>
      <c r="L25" s="15">
        <f>Table1[[#This Row],[PROPOSED FY 2021]]</f>
        <v>120</v>
      </c>
      <c r="M25" s="15"/>
      <c r="N25" s="156">
        <f>Table1[[#This Row],[$  OF REDUCTION]]/Table1[[#This Row],[PROPOSED FY 2021]]</f>
        <v>0</v>
      </c>
      <c r="O25" s="15">
        <v>120</v>
      </c>
    </row>
    <row r="26" spans="1:15" x14ac:dyDescent="0.3">
      <c r="A26" s="25" t="s">
        <v>17</v>
      </c>
      <c r="B26" s="13"/>
      <c r="C26" s="13"/>
      <c r="D26" s="13"/>
      <c r="E26" s="13"/>
      <c r="F26" s="13"/>
      <c r="G26" s="14">
        <v>1714</v>
      </c>
      <c r="H26" s="13" t="s">
        <v>21</v>
      </c>
      <c r="I26" s="15"/>
      <c r="J26" s="266">
        <v>2401.4899999999998</v>
      </c>
      <c r="K26" s="239">
        <f>245*12</f>
        <v>2940</v>
      </c>
      <c r="L26" s="15">
        <f>Table1[[#This Row],[PROPOSED FY 2021]]</f>
        <v>2940</v>
      </c>
      <c r="M26" s="15"/>
      <c r="N26" s="156">
        <f>Table1[[#This Row],[$  OF REDUCTION]]/Table1[[#This Row],[PROPOSED FY 2021]]</f>
        <v>0</v>
      </c>
      <c r="O26" s="15">
        <v>2940</v>
      </c>
    </row>
    <row r="27" spans="1:15" x14ac:dyDescent="0.3">
      <c r="A27" s="25" t="s">
        <v>18</v>
      </c>
      <c r="B27" s="13"/>
      <c r="C27" s="13"/>
      <c r="D27" s="13"/>
      <c r="E27" s="13"/>
      <c r="F27" s="13"/>
      <c r="G27" s="14">
        <v>41.17</v>
      </c>
      <c r="H27" s="13" t="s">
        <v>21</v>
      </c>
      <c r="I27" s="15"/>
      <c r="J27" s="266">
        <v>43.48</v>
      </c>
      <c r="K27" s="239">
        <v>50</v>
      </c>
      <c r="L27" s="15">
        <f>Table1[[#This Row],[PROPOSED FY 2021]]</f>
        <v>50</v>
      </c>
      <c r="M27" s="15"/>
      <c r="N27" s="156">
        <f>Table1[[#This Row],[$  OF REDUCTION]]/Table1[[#This Row],[PROPOSED FY 2021]]</f>
        <v>0</v>
      </c>
      <c r="O27" s="15">
        <v>50</v>
      </c>
    </row>
    <row r="28" spans="1:15" x14ac:dyDescent="0.3">
      <c r="A28" s="25" t="s">
        <v>19</v>
      </c>
      <c r="B28" s="13"/>
      <c r="C28" s="13"/>
      <c r="D28" s="13"/>
      <c r="E28" s="13"/>
      <c r="F28" s="13"/>
      <c r="G28" s="14">
        <v>150</v>
      </c>
      <c r="H28" s="13" t="s">
        <v>21</v>
      </c>
      <c r="I28" s="15"/>
      <c r="J28" s="266">
        <v>1350</v>
      </c>
      <c r="K28" s="239">
        <f>150*12</f>
        <v>1800</v>
      </c>
      <c r="L28" s="15">
        <f>Table1[[#This Row],[PROPOSED FY 2021]]</f>
        <v>1800</v>
      </c>
      <c r="M28" s="15"/>
      <c r="N28" s="156">
        <f>Table1[[#This Row],[$  OF REDUCTION]]/Table1[[#This Row],[PROPOSED FY 2021]]</f>
        <v>0</v>
      </c>
      <c r="O28" s="15">
        <v>1800</v>
      </c>
    </row>
    <row r="29" spans="1:15" x14ac:dyDescent="0.3">
      <c r="A29" s="25" t="s">
        <v>20</v>
      </c>
      <c r="B29" s="13"/>
      <c r="C29" s="13"/>
      <c r="D29" s="13"/>
      <c r="E29" s="13"/>
      <c r="F29" s="13"/>
      <c r="G29" s="14">
        <v>377</v>
      </c>
      <c r="H29" s="13" t="s">
        <v>21</v>
      </c>
      <c r="I29" s="15"/>
      <c r="J29" s="266"/>
      <c r="K29" s="244">
        <v>2000</v>
      </c>
      <c r="L29" s="102">
        <f>Table1[[#This Row],[PROPOSED FY 2021]]</f>
        <v>2000</v>
      </c>
      <c r="M29" s="102"/>
      <c r="N29" s="156">
        <f>Table1[[#This Row],[$  OF REDUCTION]]/Table1[[#This Row],[PROPOSED FY 2021]]</f>
        <v>0</v>
      </c>
      <c r="O29" s="102">
        <v>2000</v>
      </c>
    </row>
    <row r="30" spans="1:15" x14ac:dyDescent="0.3">
      <c r="A30" s="25" t="s">
        <v>63</v>
      </c>
      <c r="B30" s="13"/>
      <c r="C30" s="13"/>
      <c r="D30" s="13"/>
      <c r="E30" s="13"/>
      <c r="F30" s="13"/>
      <c r="G30" s="14"/>
      <c r="H30" s="13"/>
      <c r="I30" s="15"/>
      <c r="J30" s="266"/>
      <c r="K30" s="244">
        <v>4010</v>
      </c>
      <c r="L30" s="102">
        <f>Table1[[#This Row],[PROPOSED FY 2021]]</f>
        <v>4010</v>
      </c>
      <c r="M30" s="102"/>
      <c r="N30" s="156">
        <f>Table1[[#This Row],[$  OF REDUCTION]]/Table1[[#This Row],[PROPOSED FY 2021]]</f>
        <v>0</v>
      </c>
      <c r="O30" s="102">
        <v>4010</v>
      </c>
    </row>
    <row r="31" spans="1:15" x14ac:dyDescent="0.3">
      <c r="A31" s="26"/>
      <c r="B31" s="17"/>
      <c r="C31" s="17"/>
      <c r="D31" s="17"/>
      <c r="E31" s="17"/>
      <c r="F31" s="17"/>
      <c r="G31" s="18"/>
      <c r="H31" s="17"/>
      <c r="I31" s="19"/>
      <c r="J31" s="267"/>
      <c r="K31" s="241"/>
      <c r="L31" s="19"/>
      <c r="M31" s="19"/>
      <c r="N31" s="156"/>
      <c r="O31" s="19"/>
    </row>
    <row r="32" spans="1:15" ht="25" thickBot="1" x14ac:dyDescent="0.35">
      <c r="A32" s="16" t="s">
        <v>21</v>
      </c>
      <c r="B32" s="17">
        <v>25000</v>
      </c>
      <c r="C32" s="17">
        <v>25000</v>
      </c>
      <c r="D32" s="17">
        <v>25000</v>
      </c>
      <c r="E32" s="17">
        <v>25000</v>
      </c>
      <c r="F32" s="17"/>
      <c r="G32" s="18">
        <f>21726-G26-G27-G28-99</f>
        <v>19721.830000000002</v>
      </c>
      <c r="H32" s="17">
        <v>150000</v>
      </c>
      <c r="I32" s="19"/>
      <c r="J32" s="267">
        <v>30803.73</v>
      </c>
      <c r="K32" s="241">
        <v>100000</v>
      </c>
      <c r="L32" s="19">
        <v>115000</v>
      </c>
      <c r="M32" s="19"/>
      <c r="N32" s="156">
        <f>Table1[[#This Row],[$  OF REDUCTION]]/Table1[[#This Row],[PROPOSED FY 2021]]</f>
        <v>0</v>
      </c>
      <c r="O32" s="19">
        <v>100000</v>
      </c>
    </row>
    <row r="33" spans="1:26" s="23" customFormat="1" ht="25" thickBot="1" x14ac:dyDescent="0.35">
      <c r="A33" s="20" t="s">
        <v>70</v>
      </c>
      <c r="B33" s="21">
        <f>SUM(B3:B32)-B16-B21</f>
        <v>551468</v>
      </c>
      <c r="C33" s="21">
        <f>SUM(C3:C32)-C21-C16</f>
        <v>521518</v>
      </c>
      <c r="D33" s="21">
        <f>SUM(D3:D32)-D21-D16</f>
        <v>623190</v>
      </c>
      <c r="E33" s="145">
        <f>SUM(E2:E32)-E16-E21</f>
        <v>655082</v>
      </c>
      <c r="F33" s="145"/>
      <c r="G33" s="145">
        <f>SUM(G2:G32)-G16-G21</f>
        <v>615425.49999999988</v>
      </c>
      <c r="H33" s="145">
        <f>SUM(H2:H32)-H16-H21</f>
        <v>807812</v>
      </c>
      <c r="I33" s="145">
        <f>SUM(I3:I32)</f>
        <v>10000</v>
      </c>
      <c r="J33" s="269">
        <f>SUM(J2:J32)-J16-J21</f>
        <v>452907.08</v>
      </c>
      <c r="K33" s="245">
        <f>SUM(K2:K32)-K16-K21</f>
        <v>881206</v>
      </c>
      <c r="L33" s="146">
        <f>SUM(L2:L32)-L16-L21</f>
        <v>896206</v>
      </c>
      <c r="M33" s="146">
        <f>Table1[[#This Row],[PROPOSED FY 2021 WITH 14 % REDUCTION]]-Table1[[#This Row],[PROPOSED FY 2021]]</f>
        <v>15000</v>
      </c>
      <c r="N33" s="158">
        <f>Table1[[#This Row],[$  OF REDUCTION]]/Table1[[#This Row],[PROPOSED FY 2021]]</f>
        <v>1.7022126494826408E-2</v>
      </c>
      <c r="O33" s="146">
        <f>SUM(O2:O32)-O16-O21</f>
        <v>881206</v>
      </c>
    </row>
    <row r="34" spans="1:26" s="23" customFormat="1" x14ac:dyDescent="0.3">
      <c r="A34" s="27"/>
      <c r="B34" s="28"/>
      <c r="C34" s="28"/>
      <c r="D34" s="28"/>
      <c r="E34" s="29"/>
      <c r="F34" s="29"/>
      <c r="G34" s="30"/>
      <c r="H34" s="29"/>
      <c r="I34" s="29"/>
      <c r="J34" s="270"/>
      <c r="K34" s="29"/>
      <c r="L34" s="29"/>
      <c r="M34" s="29"/>
      <c r="N34" s="159"/>
      <c r="O34" s="29"/>
    </row>
    <row r="35" spans="1:26" ht="25" thickBot="1" x14ac:dyDescent="0.35">
      <c r="A35" s="121"/>
      <c r="B35" s="122"/>
      <c r="C35" s="122"/>
      <c r="D35" s="122"/>
      <c r="E35" s="122"/>
      <c r="F35" s="122"/>
      <c r="G35" s="123"/>
      <c r="H35" s="122"/>
      <c r="I35" s="122"/>
      <c r="J35" s="271"/>
      <c r="K35" s="122"/>
      <c r="L35" s="122"/>
      <c r="M35" s="122"/>
      <c r="N35" s="160"/>
      <c r="O35" s="122"/>
    </row>
    <row r="36" spans="1:26" s="34" customFormat="1" ht="27" thickBot="1" x14ac:dyDescent="0.35">
      <c r="A36" s="124" t="s">
        <v>71</v>
      </c>
      <c r="B36" s="125"/>
      <c r="C36" s="125"/>
      <c r="D36" s="125"/>
      <c r="E36" s="125"/>
      <c r="F36" s="125"/>
      <c r="G36" s="126"/>
      <c r="H36" s="125"/>
      <c r="I36" s="127"/>
      <c r="J36" s="272"/>
      <c r="K36" s="246"/>
      <c r="L36" s="127"/>
      <c r="M36" s="127"/>
      <c r="N36" s="161"/>
      <c r="O36" s="127"/>
    </row>
    <row r="37" spans="1:26" ht="25" thickBot="1" x14ac:dyDescent="0.35">
      <c r="A37" s="35"/>
      <c r="B37" s="36"/>
      <c r="C37" s="36"/>
      <c r="D37" s="36"/>
      <c r="E37" s="36"/>
      <c r="F37" s="36"/>
      <c r="G37" s="37"/>
      <c r="H37" s="36"/>
      <c r="I37" s="38"/>
      <c r="J37" s="273"/>
      <c r="K37" s="51"/>
      <c r="L37" s="38"/>
      <c r="M37" s="38"/>
      <c r="N37" s="162"/>
      <c r="O37" s="38"/>
    </row>
    <row r="38" spans="1:26" s="23" customFormat="1" ht="25" thickBot="1" x14ac:dyDescent="0.35">
      <c r="A38" s="39" t="s">
        <v>26</v>
      </c>
      <c r="B38" s="40">
        <f>SUM(B39:B49)</f>
        <v>128700</v>
      </c>
      <c r="C38" s="40">
        <f>SUM(C39:C49)</f>
        <v>301710</v>
      </c>
      <c r="D38" s="40">
        <f>SUM(D39:D49)</f>
        <v>228224</v>
      </c>
      <c r="E38" s="40">
        <f>SUM(E40:E49)</f>
        <v>278580</v>
      </c>
      <c r="F38" s="40"/>
      <c r="G38" s="41">
        <f>SUM(G39:G49)</f>
        <v>198323.88</v>
      </c>
      <c r="H38" s="40">
        <f>SUM(H40:H50)</f>
        <v>329764</v>
      </c>
      <c r="I38" s="40"/>
      <c r="J38" s="129">
        <f>SUM(J40:J50)</f>
        <v>160536.74000000002</v>
      </c>
      <c r="K38" s="247">
        <f>SUM(K39:K50)</f>
        <v>375012</v>
      </c>
      <c r="L38" s="42">
        <f>SUM(L39:L50)</f>
        <v>375012</v>
      </c>
      <c r="M38" s="42"/>
      <c r="N38" s="198">
        <f>Table1[[#This Row],[$  OF REDUCTION]]/Table1[[#This Row],[PROPOSED FY 2021]]</f>
        <v>0</v>
      </c>
      <c r="O38" s="42">
        <f>SUM(O39:O50)</f>
        <v>375012</v>
      </c>
      <c r="V38" s="98"/>
      <c r="Z38" s="98"/>
    </row>
    <row r="39" spans="1:26" ht="25" thickBot="1" x14ac:dyDescent="0.35">
      <c r="A39" s="43" t="s">
        <v>53</v>
      </c>
      <c r="B39" s="44">
        <v>100000</v>
      </c>
      <c r="C39" s="44">
        <v>75000</v>
      </c>
      <c r="D39" s="44">
        <v>60000</v>
      </c>
      <c r="E39" s="44"/>
      <c r="F39" s="44"/>
      <c r="G39" s="45"/>
      <c r="H39" s="44"/>
      <c r="I39" s="46"/>
      <c r="J39" s="274"/>
      <c r="K39" s="248"/>
      <c r="L39" s="46"/>
      <c r="M39" s="46"/>
      <c r="N39" s="198"/>
      <c r="O39" s="46"/>
      <c r="V39" s="98"/>
      <c r="Z39" s="98"/>
    </row>
    <row r="40" spans="1:26" ht="25" thickBot="1" x14ac:dyDescent="0.35">
      <c r="A40" s="47" t="s">
        <v>27</v>
      </c>
      <c r="B40" s="48"/>
      <c r="C40" s="48"/>
      <c r="D40" s="48"/>
      <c r="E40" s="48">
        <v>48500</v>
      </c>
      <c r="F40" s="48"/>
      <c r="G40" s="49">
        <v>32394.639999999999</v>
      </c>
      <c r="H40" s="48">
        <v>34000</v>
      </c>
      <c r="I40" s="50"/>
      <c r="J40" s="275">
        <v>18604.580000000002</v>
      </c>
      <c r="K40" s="249">
        <f>35364+5000</f>
        <v>40364</v>
      </c>
      <c r="L40" s="50">
        <f>Table1[[#This Row],[PROPOSED FY 2021]]</f>
        <v>40364</v>
      </c>
      <c r="M40" s="50"/>
      <c r="N40" s="198">
        <f>Table1[[#This Row],[$  OF REDUCTION]]/Table1[[#This Row],[PROPOSED FY 2021]]</f>
        <v>0</v>
      </c>
      <c r="O40" s="50">
        <v>40364</v>
      </c>
      <c r="V40" s="98"/>
      <c r="Z40" s="98"/>
    </row>
    <row r="41" spans="1:26" ht="25" thickBot="1" x14ac:dyDescent="0.35">
      <c r="A41" s="47" t="s">
        <v>28</v>
      </c>
      <c r="B41" s="48"/>
      <c r="C41" s="48"/>
      <c r="D41" s="48"/>
      <c r="E41" s="48"/>
      <c r="F41" s="48"/>
      <c r="G41" s="49"/>
      <c r="H41" s="48"/>
      <c r="I41" s="50"/>
      <c r="J41" s="275"/>
      <c r="K41" s="248">
        <v>40364</v>
      </c>
      <c r="L41" s="50">
        <f>Table1[[#This Row],[PROPOSED FY 2021]]</f>
        <v>40364</v>
      </c>
      <c r="M41" s="46"/>
      <c r="N41" s="198">
        <f>Table1[[#This Row],[$  OF REDUCTION]]/Table1[[#This Row],[PROPOSED FY 2021]]</f>
        <v>0</v>
      </c>
      <c r="O41" s="50">
        <v>40364</v>
      </c>
      <c r="V41" s="98"/>
      <c r="Z41" s="98"/>
    </row>
    <row r="42" spans="1:26" ht="25" thickBot="1" x14ac:dyDescent="0.35">
      <c r="A42" s="47" t="s">
        <v>29</v>
      </c>
      <c r="B42" s="48"/>
      <c r="C42" s="48">
        <v>60000</v>
      </c>
      <c r="D42" s="48">
        <v>60000</v>
      </c>
      <c r="E42" s="48">
        <v>60000</v>
      </c>
      <c r="F42" s="48"/>
      <c r="G42" s="49">
        <v>21640.89</v>
      </c>
      <c r="H42" s="48">
        <v>38000</v>
      </c>
      <c r="I42" s="50"/>
      <c r="J42" s="275">
        <v>21299</v>
      </c>
      <c r="K42" s="249">
        <f>35364+5000</f>
        <v>40364</v>
      </c>
      <c r="L42" s="50">
        <f>Table1[[#This Row],[PROPOSED FY 2021]]</f>
        <v>40364</v>
      </c>
      <c r="M42" s="50"/>
      <c r="N42" s="198">
        <f>Table1[[#This Row],[$  OF REDUCTION]]/Table1[[#This Row],[PROPOSED FY 2021]]</f>
        <v>0</v>
      </c>
      <c r="O42" s="50">
        <v>40364</v>
      </c>
      <c r="V42" s="98"/>
      <c r="Z42" s="98"/>
    </row>
    <row r="43" spans="1:26" ht="25" thickBot="1" x14ac:dyDescent="0.35">
      <c r="A43" s="47" t="s">
        <v>30</v>
      </c>
      <c r="B43" s="48"/>
      <c r="C43" s="48"/>
      <c r="D43" s="48"/>
      <c r="E43" s="48"/>
      <c r="F43" s="48"/>
      <c r="G43" s="49"/>
      <c r="H43" s="48">
        <v>16000</v>
      </c>
      <c r="I43" s="50"/>
      <c r="J43" s="275">
        <v>13600</v>
      </c>
      <c r="K43" s="248">
        <v>40364</v>
      </c>
      <c r="L43" s="50">
        <f>Table1[[#This Row],[PROPOSED FY 2021]]</f>
        <v>40364</v>
      </c>
      <c r="M43" s="46"/>
      <c r="N43" s="198">
        <f>Table1[[#This Row],[$  OF REDUCTION]]/Table1[[#This Row],[PROPOSED FY 2021]]</f>
        <v>0</v>
      </c>
      <c r="O43" s="50">
        <v>40364</v>
      </c>
      <c r="V43" s="98"/>
      <c r="Z43" s="98"/>
    </row>
    <row r="44" spans="1:26" ht="25" thickBot="1" x14ac:dyDescent="0.35">
      <c r="A44" s="47" t="s">
        <v>31</v>
      </c>
      <c r="B44" s="48">
        <v>28700</v>
      </c>
      <c r="C44" s="48">
        <v>46710</v>
      </c>
      <c r="D44" s="48">
        <v>48224</v>
      </c>
      <c r="E44" s="48">
        <v>35080</v>
      </c>
      <c r="F44" s="48"/>
      <c r="G44" s="49">
        <v>35080</v>
      </c>
      <c r="H44" s="48">
        <v>45000</v>
      </c>
      <c r="I44" s="50"/>
      <c r="J44" s="275">
        <v>45000</v>
      </c>
      <c r="K44" s="249">
        <f>35364+5000</f>
        <v>40364</v>
      </c>
      <c r="L44" s="50">
        <f>Table1[[#This Row],[PROPOSED FY 2021]]</f>
        <v>40364</v>
      </c>
      <c r="M44" s="50"/>
      <c r="N44" s="198">
        <f>Table1[[#This Row],[$  OF REDUCTION]]/Table1[[#This Row],[PROPOSED FY 2021]]</f>
        <v>0</v>
      </c>
      <c r="O44" s="50">
        <v>40364</v>
      </c>
      <c r="V44" s="98"/>
      <c r="Z44" s="98"/>
    </row>
    <row r="45" spans="1:26" ht="24" customHeight="1" thickBot="1" x14ac:dyDescent="0.35">
      <c r="A45" s="47" t="s">
        <v>32</v>
      </c>
      <c r="B45" s="48"/>
      <c r="C45" s="48">
        <v>60000</v>
      </c>
      <c r="D45" s="48"/>
      <c r="E45" s="48">
        <v>45000</v>
      </c>
      <c r="F45" s="48"/>
      <c r="G45" s="49">
        <v>24018.240000000002</v>
      </c>
      <c r="H45" s="48">
        <v>45000</v>
      </c>
      <c r="I45" s="50"/>
      <c r="J45" s="275">
        <v>15270</v>
      </c>
      <c r="K45" s="248">
        <v>40364</v>
      </c>
      <c r="L45" s="50">
        <f>Table1[[#This Row],[PROPOSED FY 2021]]</f>
        <v>40364</v>
      </c>
      <c r="M45" s="46"/>
      <c r="N45" s="198">
        <f>Table1[[#This Row],[$  OF REDUCTION]]/Table1[[#This Row],[PROPOSED FY 2021]]</f>
        <v>0</v>
      </c>
      <c r="O45" s="50">
        <v>40364</v>
      </c>
      <c r="V45" s="98"/>
      <c r="Z45" s="98"/>
    </row>
    <row r="46" spans="1:26" ht="25" thickBot="1" x14ac:dyDescent="0.35">
      <c r="A46" s="47" t="s">
        <v>33</v>
      </c>
      <c r="B46" s="48"/>
      <c r="C46" s="48"/>
      <c r="D46" s="48"/>
      <c r="E46" s="48"/>
      <c r="F46" s="51"/>
      <c r="G46" s="52"/>
      <c r="H46" s="48">
        <v>45000</v>
      </c>
      <c r="I46" s="50"/>
      <c r="J46" s="275">
        <v>33528</v>
      </c>
      <c r="K46" s="249">
        <f>35364+5000</f>
        <v>40364</v>
      </c>
      <c r="L46" s="50">
        <f>Table1[[#This Row],[PROPOSED FY 2021]]</f>
        <v>40364</v>
      </c>
      <c r="M46" s="50"/>
      <c r="N46" s="198">
        <f>Table1[[#This Row],[$  OF REDUCTION]]/Table1[[#This Row],[PROPOSED FY 2021]]</f>
        <v>0</v>
      </c>
      <c r="O46" s="50">
        <v>40364</v>
      </c>
      <c r="V46" s="98"/>
      <c r="Z46" s="98"/>
    </row>
    <row r="47" spans="1:26" ht="25" thickBot="1" x14ac:dyDescent="0.35">
      <c r="A47" s="47" t="s">
        <v>76</v>
      </c>
      <c r="B47" s="48"/>
      <c r="C47" s="48"/>
      <c r="D47" s="48"/>
      <c r="E47" s="48"/>
      <c r="F47" s="98"/>
      <c r="G47" s="52"/>
      <c r="H47" s="48">
        <v>0</v>
      </c>
      <c r="I47" s="50"/>
      <c r="J47" s="275">
        <v>0</v>
      </c>
      <c r="K47" s="248">
        <v>0</v>
      </c>
      <c r="L47" s="50">
        <f>Table1[[#This Row],[PROPOSED FY 2021]]</f>
        <v>0</v>
      </c>
      <c r="M47" s="46"/>
      <c r="N47" s="198" t="e">
        <f>Table1[[#This Row],[$  OF REDUCTION]]/Table1[[#This Row],[PROPOSED FY 2021]]</f>
        <v>#DIV/0!</v>
      </c>
      <c r="O47" s="50">
        <v>0</v>
      </c>
      <c r="V47" s="98"/>
      <c r="Z47" s="98"/>
    </row>
    <row r="48" spans="1:26" ht="25" thickBot="1" x14ac:dyDescent="0.35">
      <c r="A48" s="47" t="s">
        <v>34</v>
      </c>
      <c r="B48" s="48"/>
      <c r="C48" s="48">
        <v>60000</v>
      </c>
      <c r="D48" s="48">
        <v>60000</v>
      </c>
      <c r="E48" s="48">
        <v>70000</v>
      </c>
      <c r="F48" s="48"/>
      <c r="G48" s="49">
        <v>72627.759999999995</v>
      </c>
      <c r="H48" s="48">
        <v>71200</v>
      </c>
      <c r="I48" s="50"/>
      <c r="J48" s="275"/>
      <c r="K48" s="248">
        <v>50900</v>
      </c>
      <c r="L48" s="50">
        <f>Table1[[#This Row],[PROPOSED FY 2021]]</f>
        <v>50900</v>
      </c>
      <c r="M48" s="46"/>
      <c r="N48" s="198">
        <f>Table1[[#This Row],[$  OF REDUCTION]]/Table1[[#This Row],[PROPOSED FY 2021]]</f>
        <v>0</v>
      </c>
      <c r="O48" s="50">
        <v>50900</v>
      </c>
      <c r="V48" s="98"/>
      <c r="Z48" s="98"/>
    </row>
    <row r="49" spans="1:26" ht="25" thickBot="1" x14ac:dyDescent="0.35">
      <c r="A49" s="47" t="s">
        <v>35</v>
      </c>
      <c r="B49" s="48"/>
      <c r="C49" s="48"/>
      <c r="D49" s="48"/>
      <c r="E49" s="48">
        <v>20000</v>
      </c>
      <c r="F49" s="48"/>
      <c r="G49" s="49">
        <v>12562.35</v>
      </c>
      <c r="H49" s="48">
        <v>35564</v>
      </c>
      <c r="I49" s="50"/>
      <c r="J49" s="275">
        <v>12235.16</v>
      </c>
      <c r="K49" s="249">
        <f>35364+5000+200</f>
        <v>40564</v>
      </c>
      <c r="L49" s="50">
        <f>Table1[[#This Row],[PROPOSED FY 2021]]</f>
        <v>40564</v>
      </c>
      <c r="M49" s="50"/>
      <c r="N49" s="198">
        <f>Table1[[#This Row],[$  OF REDUCTION]]/Table1[[#This Row],[PROPOSED FY 2021]]</f>
        <v>0</v>
      </c>
      <c r="O49" s="50">
        <v>40564</v>
      </c>
      <c r="V49" s="98"/>
      <c r="Z49" s="98"/>
    </row>
    <row r="50" spans="1:26" ht="25" thickBot="1" x14ac:dyDescent="0.35">
      <c r="A50" s="47" t="s">
        <v>58</v>
      </c>
      <c r="B50" s="48"/>
      <c r="C50" s="48"/>
      <c r="D50" s="48"/>
      <c r="E50" s="48"/>
      <c r="F50" s="48"/>
      <c r="G50" s="49"/>
      <c r="H50" s="48"/>
      <c r="I50" s="50"/>
      <c r="J50" s="275">
        <v>1000</v>
      </c>
      <c r="K50" s="248">
        <v>1000</v>
      </c>
      <c r="L50" s="46">
        <v>1000</v>
      </c>
      <c r="M50" s="46"/>
      <c r="N50" s="198">
        <f>Table1[[#This Row],[$  OF REDUCTION]]/Table1[[#This Row],[PROPOSED FY 2021]]</f>
        <v>0</v>
      </c>
      <c r="O50" s="46">
        <v>1000</v>
      </c>
      <c r="V50" s="98"/>
      <c r="Z50" s="98"/>
    </row>
    <row r="51" spans="1:26" ht="25" thickBot="1" x14ac:dyDescent="0.35">
      <c r="A51" s="47"/>
      <c r="B51" s="48"/>
      <c r="C51" s="48"/>
      <c r="D51" s="48"/>
      <c r="E51" s="48"/>
      <c r="F51" s="48"/>
      <c r="G51" s="49"/>
      <c r="H51" s="48"/>
      <c r="I51" s="50"/>
      <c r="J51" s="275"/>
      <c r="K51" s="249"/>
      <c r="L51" s="50"/>
      <c r="M51" s="50"/>
      <c r="N51" s="198" t="e">
        <f>Table1[[#This Row],[$  OF REDUCTION]]/Table1[[#This Row],[PROPOSED FY 2021]]</f>
        <v>#DIV/0!</v>
      </c>
      <c r="O51" s="50"/>
      <c r="V51" s="98"/>
      <c r="Z51" s="98"/>
    </row>
    <row r="52" spans="1:26" ht="25" thickBot="1" x14ac:dyDescent="0.35">
      <c r="A52" s="53" t="s">
        <v>36</v>
      </c>
      <c r="B52" s="48">
        <v>12000</v>
      </c>
      <c r="C52" s="48">
        <v>12000</v>
      </c>
      <c r="D52" s="48"/>
      <c r="E52" s="48"/>
      <c r="F52" s="48"/>
      <c r="G52" s="49"/>
      <c r="H52" s="48">
        <v>15000</v>
      </c>
      <c r="I52" s="50"/>
      <c r="J52" s="275">
        <v>15000</v>
      </c>
      <c r="K52" s="249">
        <v>15000</v>
      </c>
      <c r="L52" s="50">
        <v>15000</v>
      </c>
      <c r="M52" s="50"/>
      <c r="N52" s="198">
        <f>Table1[[#This Row],[$  OF REDUCTION]]/Table1[[#This Row],[PROPOSED FY 2021]]</f>
        <v>0</v>
      </c>
      <c r="O52" s="50">
        <v>15000</v>
      </c>
      <c r="V52" s="98"/>
      <c r="Z52" s="98"/>
    </row>
    <row r="53" spans="1:26" ht="25" thickBot="1" x14ac:dyDescent="0.35">
      <c r="A53" s="53" t="s">
        <v>37</v>
      </c>
      <c r="B53" s="48">
        <v>75000</v>
      </c>
      <c r="C53" s="48"/>
      <c r="D53" s="48">
        <v>150000</v>
      </c>
      <c r="E53" s="48">
        <v>200000</v>
      </c>
      <c r="F53" s="48"/>
      <c r="G53" s="49">
        <v>200000</v>
      </c>
      <c r="H53" s="48">
        <v>192000</v>
      </c>
      <c r="I53" s="50"/>
      <c r="J53" s="275">
        <v>144000</v>
      </c>
      <c r="K53" s="249">
        <v>200000</v>
      </c>
      <c r="L53" s="50">
        <v>172000</v>
      </c>
      <c r="M53" s="50">
        <f>Table1[[#This Row],[PROPOSED FY 2021]]-Table1[[#This Row],[PROPOSED FY 2021 WITH 14 % REDUCTION]]</f>
        <v>28000</v>
      </c>
      <c r="N53" s="198">
        <f>Table1[[#This Row],[$  OF REDUCTION]]/Table1[[#This Row],[PROPOSED FY 2021]]</f>
        <v>0.14000000000000001</v>
      </c>
      <c r="O53" s="50">
        <v>170880</v>
      </c>
      <c r="V53" s="98"/>
      <c r="Z53" s="98"/>
    </row>
    <row r="54" spans="1:26" ht="25" thickBot="1" x14ac:dyDescent="0.35">
      <c r="A54" s="53" t="s">
        <v>38</v>
      </c>
      <c r="B54" s="48"/>
      <c r="C54" s="48">
        <v>194628</v>
      </c>
      <c r="D54" s="48"/>
      <c r="E54" s="48"/>
      <c r="F54" s="48"/>
      <c r="G54" s="49"/>
      <c r="H54" s="50">
        <v>225000</v>
      </c>
      <c r="I54" s="50"/>
      <c r="J54" s="275">
        <v>100169.33</v>
      </c>
      <c r="K54" s="250">
        <v>225000</v>
      </c>
      <c r="L54" s="48">
        <v>193500</v>
      </c>
      <c r="M54" s="48">
        <f>Table1[[#This Row],[PROPOSED FY 2021]]-Table1[[#This Row],[PROPOSED FY 2021 WITH 14 % REDUCTION]]</f>
        <v>31500</v>
      </c>
      <c r="N54" s="198">
        <f>Table1[[#This Row],[$  OF REDUCTION]]/Table1[[#This Row],[PROPOSED FY 2021]]</f>
        <v>0.14000000000000001</v>
      </c>
      <c r="O54" s="48">
        <v>200250</v>
      </c>
      <c r="V54" s="98"/>
      <c r="Z54" s="98"/>
    </row>
    <row r="55" spans="1:26" ht="25" hidden="1" thickBot="1" x14ac:dyDescent="0.35">
      <c r="A55" s="53" t="s">
        <v>54</v>
      </c>
      <c r="B55" s="48">
        <v>108900</v>
      </c>
      <c r="C55" s="48"/>
      <c r="D55" s="48"/>
      <c r="E55" s="48"/>
      <c r="F55" s="50"/>
      <c r="G55" s="54"/>
      <c r="H55" s="50"/>
      <c r="I55" s="50"/>
      <c r="J55" s="275"/>
      <c r="K55" s="250"/>
      <c r="L55" s="48"/>
      <c r="M55" s="48"/>
      <c r="N55" s="198" t="e">
        <f>Table1[[#This Row],[$  OF REDUCTION]]/Table1[[#This Row],[PROPOSED FY 2021]]</f>
        <v>#DIV/0!</v>
      </c>
      <c r="O55" s="48"/>
      <c r="V55" s="98"/>
      <c r="Z55" s="98"/>
    </row>
    <row r="56" spans="1:26" ht="25" hidden="1" thickBot="1" x14ac:dyDescent="0.35">
      <c r="A56" s="53" t="s">
        <v>55</v>
      </c>
      <c r="B56" s="48">
        <v>113989</v>
      </c>
      <c r="C56" s="48"/>
      <c r="D56" s="48"/>
      <c r="E56" s="48"/>
      <c r="F56" s="50"/>
      <c r="G56" s="54"/>
      <c r="H56" s="50"/>
      <c r="I56" s="50"/>
      <c r="J56" s="275"/>
      <c r="K56" s="250"/>
      <c r="L56" s="48"/>
      <c r="M56" s="48"/>
      <c r="N56" s="198" t="e">
        <f>Table1[[#This Row],[$  OF REDUCTION]]/Table1[[#This Row],[PROPOSED FY 2021]]</f>
        <v>#DIV/0!</v>
      </c>
      <c r="O56" s="48"/>
      <c r="V56" s="98"/>
      <c r="Z56" s="98"/>
    </row>
    <row r="57" spans="1:26" ht="25" hidden="1" thickBot="1" x14ac:dyDescent="0.35">
      <c r="A57" s="53" t="s">
        <v>56</v>
      </c>
      <c r="B57" s="48">
        <v>31200</v>
      </c>
      <c r="C57" s="48"/>
      <c r="D57" s="48"/>
      <c r="E57" s="48"/>
      <c r="F57" s="50"/>
      <c r="G57" s="54"/>
      <c r="H57" s="50"/>
      <c r="I57" s="50"/>
      <c r="J57" s="275"/>
      <c r="K57" s="250"/>
      <c r="L57" s="48"/>
      <c r="M57" s="48"/>
      <c r="N57" s="198" t="e">
        <f>Table1[[#This Row],[$  OF REDUCTION]]/Table1[[#This Row],[PROPOSED FY 2021]]</f>
        <v>#DIV/0!</v>
      </c>
      <c r="O57" s="48"/>
      <c r="V57" s="98"/>
      <c r="Z57" s="98"/>
    </row>
    <row r="58" spans="1:26" ht="25" hidden="1" thickBot="1" x14ac:dyDescent="0.35">
      <c r="A58" s="53" t="s">
        <v>57</v>
      </c>
      <c r="B58" s="48">
        <v>18750</v>
      </c>
      <c r="C58" s="48"/>
      <c r="D58" s="48"/>
      <c r="E58" s="48"/>
      <c r="F58" s="50"/>
      <c r="G58" s="54"/>
      <c r="H58" s="50"/>
      <c r="I58" s="50"/>
      <c r="J58" s="275"/>
      <c r="K58" s="250"/>
      <c r="L58" s="48"/>
      <c r="M58" s="48"/>
      <c r="N58" s="198" t="e">
        <f>Table1[[#This Row],[$  OF REDUCTION]]/Table1[[#This Row],[PROPOSED FY 2021]]</f>
        <v>#DIV/0!</v>
      </c>
      <c r="O58" s="48"/>
      <c r="V58" s="98"/>
      <c r="Z58" s="98"/>
    </row>
    <row r="59" spans="1:26" ht="25" thickBot="1" x14ac:dyDescent="0.35">
      <c r="A59" s="55" t="s">
        <v>77</v>
      </c>
      <c r="B59" s="56"/>
      <c r="C59" s="56"/>
      <c r="D59" s="56"/>
      <c r="E59" s="56"/>
      <c r="F59" s="112"/>
      <c r="G59" s="58"/>
      <c r="H59" s="57"/>
      <c r="I59" s="57"/>
      <c r="J59" s="275"/>
      <c r="K59" s="249">
        <v>200000</v>
      </c>
      <c r="L59" s="50">
        <v>100000</v>
      </c>
      <c r="M59" s="50">
        <v>100000</v>
      </c>
      <c r="N59" s="198">
        <f>Table1[[#This Row],[$  OF REDUCTION]]/Table1[[#This Row],[PROPOSED FY 2021]]</f>
        <v>0.5</v>
      </c>
      <c r="O59" s="50">
        <v>100000</v>
      </c>
      <c r="V59" s="98"/>
      <c r="Z59" s="98"/>
    </row>
    <row r="60" spans="1:26" ht="25" thickBot="1" x14ac:dyDescent="0.35">
      <c r="A60" s="55" t="s">
        <v>67</v>
      </c>
      <c r="B60" s="56"/>
      <c r="C60" s="56"/>
      <c r="D60" s="56"/>
      <c r="E60" s="56"/>
      <c r="F60" s="57">
        <v>100000</v>
      </c>
      <c r="G60" s="58">
        <v>100000</v>
      </c>
      <c r="H60" s="57"/>
      <c r="I60" s="57"/>
      <c r="J60" s="276"/>
      <c r="K60" s="251">
        <v>0</v>
      </c>
      <c r="L60" s="56"/>
      <c r="M60" s="56"/>
      <c r="N60" s="163"/>
      <c r="O60" s="56"/>
      <c r="Z60" s="98"/>
    </row>
    <row r="61" spans="1:26" s="23" customFormat="1" ht="27" thickBot="1" x14ac:dyDescent="0.35">
      <c r="A61" s="128" t="s">
        <v>39</v>
      </c>
      <c r="B61" s="40">
        <f>SUM(B39:B60)</f>
        <v>488539</v>
      </c>
      <c r="C61" s="40">
        <f>SUM(C40:C60)</f>
        <v>433338</v>
      </c>
      <c r="D61" s="40">
        <f>SUM(D38:D60)-D38</f>
        <v>378224</v>
      </c>
      <c r="E61" s="40">
        <f>SUM(E40:E60)</f>
        <v>478580</v>
      </c>
      <c r="F61" s="40">
        <f>SUM(F40:F60)</f>
        <v>100000</v>
      </c>
      <c r="G61" s="40">
        <f>SUM(G40:G60)</f>
        <v>498323.88</v>
      </c>
      <c r="H61" s="40">
        <f>SUM(H40:H60)</f>
        <v>761764</v>
      </c>
      <c r="I61" s="40"/>
      <c r="J61" s="129">
        <f>SUM(J40:J60)</f>
        <v>419706.07</v>
      </c>
      <c r="K61" s="153">
        <f>SUBTOTAL(109,K40:K60)</f>
        <v>1015012</v>
      </c>
      <c r="L61" s="129">
        <f>SUBTOTAL(109,L40:L60)</f>
        <v>855512</v>
      </c>
      <c r="M61" s="153">
        <f>Table1[[#This Row],[PROPOSED FY 2021 WITH 14 % REDUCTION]]-Table1[[#This Row],[PROPOSED FY 2021]]</f>
        <v>-159500</v>
      </c>
      <c r="N61" s="199">
        <f>Table1[[#This Row],[$  OF REDUCTION]]/Table1[[#This Row],[PROPOSED FY 2021]]</f>
        <v>-0.15714099931823466</v>
      </c>
      <c r="O61" s="129">
        <f>SUBTOTAL(109,O40:O60)</f>
        <v>861142</v>
      </c>
    </row>
    <row r="62" spans="1:26" x14ac:dyDescent="0.3">
      <c r="A62" s="27"/>
      <c r="B62" s="28"/>
      <c r="C62" s="28"/>
      <c r="D62" s="28"/>
      <c r="E62" s="28"/>
      <c r="F62" s="28"/>
      <c r="G62" s="59"/>
      <c r="H62" s="28"/>
      <c r="I62" s="28"/>
      <c r="J62" s="277"/>
      <c r="K62" s="28"/>
      <c r="L62" s="28"/>
      <c r="M62" s="28"/>
      <c r="N62" s="164"/>
      <c r="O62" s="28"/>
    </row>
    <row r="63" spans="1:26" s="60" customFormat="1" ht="27" thickBot="1" x14ac:dyDescent="0.35">
      <c r="A63" s="31"/>
      <c r="B63" s="32"/>
      <c r="C63" s="32"/>
      <c r="D63" s="32"/>
      <c r="E63" s="32"/>
      <c r="F63" s="32"/>
      <c r="G63" s="33"/>
      <c r="H63" s="32"/>
      <c r="I63" s="32"/>
      <c r="J63" s="278"/>
      <c r="K63" s="32"/>
      <c r="L63" s="32"/>
      <c r="M63" s="32"/>
      <c r="N63" s="165"/>
      <c r="O63" s="32"/>
    </row>
    <row r="64" spans="1:26" ht="27" thickBot="1" x14ac:dyDescent="0.35">
      <c r="A64" s="130" t="s">
        <v>73</v>
      </c>
      <c r="B64" s="131">
        <v>150000</v>
      </c>
      <c r="C64" s="131"/>
      <c r="D64" s="131"/>
      <c r="E64" s="131">
        <v>150000</v>
      </c>
      <c r="F64" s="114"/>
      <c r="G64" s="132">
        <v>129857.7</v>
      </c>
      <c r="H64" s="131">
        <v>192000</v>
      </c>
      <c r="I64" s="133"/>
      <c r="J64" s="134">
        <v>174717.74</v>
      </c>
      <c r="K64" s="154">
        <v>192000</v>
      </c>
      <c r="L64" s="154">
        <v>141500</v>
      </c>
      <c r="M64" s="154">
        <f>Table1[[#This Row],[PROPOSED FY 2021 WITH 14 % REDUCTION]]-Table1[[#This Row],[PROPOSED FY 2021]]</f>
        <v>-50500</v>
      </c>
      <c r="N64" s="166">
        <f>Table1[[#This Row],[$  OF REDUCTION]]/Table1[[#This Row],[PROPOSED FY 2021]]</f>
        <v>-0.26302083333333331</v>
      </c>
      <c r="O64" s="154">
        <v>141500</v>
      </c>
    </row>
    <row r="65" spans="1:15" ht="27" thickBot="1" x14ac:dyDescent="0.35">
      <c r="A65" s="113" t="s">
        <v>78</v>
      </c>
      <c r="B65" s="114"/>
      <c r="C65" s="114"/>
      <c r="D65" s="114"/>
      <c r="E65" s="114"/>
      <c r="F65" s="114"/>
      <c r="G65" s="115"/>
      <c r="H65" s="114"/>
      <c r="I65" s="114"/>
      <c r="J65" s="154"/>
      <c r="K65" s="114">
        <v>0</v>
      </c>
      <c r="L65" s="114"/>
      <c r="M65" s="154"/>
      <c r="N65" s="166"/>
      <c r="O65" s="114"/>
    </row>
    <row r="66" spans="1:15" s="61" customFormat="1" ht="27" thickBot="1" x14ac:dyDescent="0.35">
      <c r="A66" s="106" t="s">
        <v>74</v>
      </c>
      <c r="B66" s="107">
        <v>491175</v>
      </c>
      <c r="C66" s="107">
        <v>491560</v>
      </c>
      <c r="D66" s="107">
        <v>491708</v>
      </c>
      <c r="E66" s="107">
        <v>502322</v>
      </c>
      <c r="F66" s="108">
        <v>174641</v>
      </c>
      <c r="G66" s="111">
        <v>676963</v>
      </c>
      <c r="H66" s="107">
        <v>482437</v>
      </c>
      <c r="I66" s="109">
        <v>25930.67</v>
      </c>
      <c r="J66" s="110">
        <v>482437.44</v>
      </c>
      <c r="K66" s="252">
        <v>472387</v>
      </c>
      <c r="L66" s="176">
        <v>432183.49</v>
      </c>
      <c r="M66" s="154">
        <f>Table1[[#This Row],[PROPOSED FY 2021 WITH 14 % REDUCTION]]-Table1[[#This Row],[PROPOSED FY 2021]]</f>
        <v>-40203.510000000009</v>
      </c>
      <c r="N66" s="166">
        <f>Table1[[#This Row],[$  OF REDUCTION]]/Table1[[#This Row],[PROPOSED FY 2021]]</f>
        <v>-8.5107147317771248E-2</v>
      </c>
      <c r="O66" s="176">
        <v>447260</v>
      </c>
    </row>
    <row r="67" spans="1:15" s="61" customFormat="1" ht="26" x14ac:dyDescent="0.3">
      <c r="A67" s="62"/>
      <c r="B67" s="63"/>
      <c r="C67" s="63"/>
      <c r="D67" s="63"/>
      <c r="E67" s="63"/>
      <c r="F67" s="63"/>
      <c r="G67" s="64"/>
      <c r="H67" s="63"/>
      <c r="I67" s="63"/>
      <c r="J67" s="279"/>
      <c r="K67" s="63"/>
      <c r="L67" s="63">
        <f>Table1[[#This Row],[PROPOSED FY 2021]]*14%</f>
        <v>0</v>
      </c>
      <c r="M67" s="63"/>
      <c r="N67" s="167"/>
      <c r="O67" s="63"/>
    </row>
    <row r="68" spans="1:15" s="61" customFormat="1" ht="27" thickBot="1" x14ac:dyDescent="0.35">
      <c r="A68" s="135"/>
      <c r="B68" s="136"/>
      <c r="C68" s="136"/>
      <c r="D68" s="136"/>
      <c r="E68" s="136"/>
      <c r="F68" s="136"/>
      <c r="G68" s="137"/>
      <c r="H68" s="136"/>
      <c r="I68" s="136"/>
      <c r="J68" s="280"/>
      <c r="K68" s="136"/>
      <c r="L68" s="136">
        <f>Table1[[#This Row],[PROPOSED FY 2021]]*14%</f>
        <v>0</v>
      </c>
      <c r="M68" s="136"/>
      <c r="N68" s="168"/>
      <c r="O68" s="136"/>
    </row>
    <row r="69" spans="1:15" s="61" customFormat="1" ht="27" thickBot="1" x14ac:dyDescent="0.35">
      <c r="A69" s="138" t="s">
        <v>45</v>
      </c>
      <c r="B69" s="139"/>
      <c r="C69" s="139"/>
      <c r="D69" s="139"/>
      <c r="E69" s="139"/>
      <c r="F69" s="139"/>
      <c r="G69" s="140"/>
      <c r="H69" s="139"/>
      <c r="I69" s="141"/>
      <c r="J69" s="281"/>
      <c r="K69" s="253"/>
      <c r="L69" s="141">
        <f>Table1[[#This Row],[PROPOSED FY 2021]]*14%</f>
        <v>0</v>
      </c>
      <c r="M69" s="141"/>
      <c r="N69" s="169"/>
      <c r="O69" s="141"/>
    </row>
    <row r="70" spans="1:15" s="61" customFormat="1" x14ac:dyDescent="0.3">
      <c r="A70" s="65" t="s">
        <v>46</v>
      </c>
      <c r="B70" s="66">
        <v>148350</v>
      </c>
      <c r="C70" s="66">
        <v>152100</v>
      </c>
      <c r="D70" s="66">
        <v>165000</v>
      </c>
      <c r="E70" s="66">
        <v>155000</v>
      </c>
      <c r="F70" s="66"/>
      <c r="G70" s="67">
        <f>121978.4</f>
        <v>121978.4</v>
      </c>
      <c r="H70" s="66">
        <f>155000-42000</f>
        <v>113000</v>
      </c>
      <c r="I70" s="68"/>
      <c r="J70" s="282">
        <v>113000</v>
      </c>
      <c r="K70" s="254">
        <v>159000</v>
      </c>
      <c r="L70" s="68">
        <v>159000</v>
      </c>
      <c r="M70" s="68">
        <f>Table1[[#This Row],[PROPOSED FY 2021]]-Table1[[#This Row],[PROPOSED FY 2021 WITH 14 % REDUCTION]]</f>
        <v>0</v>
      </c>
      <c r="N70" s="170">
        <f>Table1[[#This Row],[$  OF REDUCTION]]/Table1[[#This Row],[PROPOSED FY 2021]]</f>
        <v>0</v>
      </c>
      <c r="O70" s="68">
        <v>159000</v>
      </c>
    </row>
    <row r="71" spans="1:15" s="23" customFormat="1" x14ac:dyDescent="0.3">
      <c r="A71" s="179" t="s">
        <v>79</v>
      </c>
      <c r="B71" s="81"/>
      <c r="C71" s="81"/>
      <c r="D71" s="81"/>
      <c r="E71" s="76"/>
      <c r="F71" s="76"/>
      <c r="G71" s="77"/>
      <c r="H71" s="76">
        <v>42000</v>
      </c>
      <c r="I71" s="76"/>
      <c r="J71" s="283">
        <v>31024.92</v>
      </c>
      <c r="K71" s="235">
        <v>42000</v>
      </c>
      <c r="L71" s="72"/>
      <c r="M71" s="72"/>
      <c r="N71" s="221">
        <f>Table1[[#This Row],[$  OF REDUCTION]]/Table1[[#This Row],[PROPOSED FY 2021]]</f>
        <v>0</v>
      </c>
      <c r="O71" s="72"/>
    </row>
    <row r="72" spans="1:15" s="234" customFormat="1" x14ac:dyDescent="0.3">
      <c r="A72" s="284" t="s">
        <v>47</v>
      </c>
      <c r="B72" s="177">
        <f>SUM(B73:B75)</f>
        <v>422398</v>
      </c>
      <c r="C72" s="177">
        <f>SUM(C73:C75)</f>
        <v>423000</v>
      </c>
      <c r="D72" s="177">
        <f>SUM(D73:D75)</f>
        <v>480000</v>
      </c>
      <c r="E72" s="177">
        <f>SUM(E73:E76)</f>
        <v>423000</v>
      </c>
      <c r="F72" s="177"/>
      <c r="G72" s="178">
        <f>SUM(G73:G75)</f>
        <v>447642.66</v>
      </c>
      <c r="H72" s="177">
        <f>SUM(H73:H76)</f>
        <v>418000</v>
      </c>
      <c r="I72" s="177"/>
      <c r="J72" s="285">
        <v>294134.61</v>
      </c>
      <c r="K72" s="232">
        <v>560732</v>
      </c>
      <c r="L72" s="232">
        <f>Table1[[#This Row],[PROPOSED FY 2021]]</f>
        <v>560732</v>
      </c>
      <c r="M72" s="232">
        <f>Table1[[#This Row],[PROPOSED FY 2021]]-Table1[[#This Row],[PROPOSED FY 2021 WITH 14 % REDUCTION]]</f>
        <v>0</v>
      </c>
      <c r="N72" s="233">
        <f>Table1[[#This Row],[$  OF REDUCTION]]/Table1[[#This Row],[PROPOSED FY 2021]]</f>
        <v>0</v>
      </c>
      <c r="O72" s="232">
        <v>560732</v>
      </c>
    </row>
    <row r="73" spans="1:15" s="61" customFormat="1" hidden="1" x14ac:dyDescent="0.3">
      <c r="A73" s="74" t="s">
        <v>48</v>
      </c>
      <c r="B73" s="66">
        <v>416998</v>
      </c>
      <c r="C73" s="66">
        <v>420000</v>
      </c>
      <c r="D73" s="66">
        <v>475000</v>
      </c>
      <c r="E73" s="66">
        <v>400000</v>
      </c>
      <c r="F73" s="66"/>
      <c r="G73" s="67">
        <v>406895.91</v>
      </c>
      <c r="H73" s="66">
        <v>375000</v>
      </c>
      <c r="I73" s="68"/>
      <c r="J73" s="282"/>
      <c r="K73" s="255"/>
      <c r="L73" s="69"/>
      <c r="M73" s="69"/>
      <c r="N73" s="170" t="e">
        <f>Table1[[#This Row],[$  OF REDUCTION]]/Table1[[#This Row],[PROPOSED FY 2021]]</f>
        <v>#DIV/0!</v>
      </c>
      <c r="O73" s="69"/>
    </row>
    <row r="74" spans="1:15" s="61" customFormat="1" hidden="1" x14ac:dyDescent="0.3">
      <c r="A74" s="75" t="s">
        <v>49</v>
      </c>
      <c r="B74" s="76">
        <v>5400</v>
      </c>
      <c r="C74" s="76">
        <v>3000</v>
      </c>
      <c r="D74" s="76">
        <v>5000</v>
      </c>
      <c r="E74" s="76">
        <v>3000</v>
      </c>
      <c r="F74" s="76"/>
      <c r="G74" s="77">
        <v>1671.56</v>
      </c>
      <c r="H74" s="76">
        <v>3000</v>
      </c>
      <c r="I74" s="78"/>
      <c r="J74" s="283"/>
      <c r="K74" s="256">
        <v>0</v>
      </c>
      <c r="L74" s="78"/>
      <c r="M74" s="78"/>
      <c r="N74" s="170" t="e">
        <f>Table1[[#This Row],[$  OF REDUCTION]]/Table1[[#This Row],[PROPOSED FY 2021]]</f>
        <v>#DIV/0!</v>
      </c>
      <c r="O74" s="78"/>
    </row>
    <row r="75" spans="1:15" s="61" customFormat="1" hidden="1" x14ac:dyDescent="0.3">
      <c r="A75" s="79" t="s">
        <v>50</v>
      </c>
      <c r="B75" s="76"/>
      <c r="C75" s="76">
        <v>0</v>
      </c>
      <c r="D75" s="76">
        <v>0</v>
      </c>
      <c r="E75" s="76">
        <v>20000</v>
      </c>
      <c r="F75" s="76"/>
      <c r="G75" s="77">
        <v>39075.19</v>
      </c>
      <c r="H75" s="76">
        <v>40000</v>
      </c>
      <c r="I75" s="78"/>
      <c r="J75" s="283"/>
      <c r="K75" s="257"/>
      <c r="L75" s="80"/>
      <c r="M75" s="80"/>
      <c r="N75" s="170" t="e">
        <f>Table1[[#This Row],[$  OF REDUCTION]]/Table1[[#This Row],[PROPOSED FY 2021]]</f>
        <v>#DIV/0!</v>
      </c>
      <c r="O75" s="80"/>
    </row>
    <row r="76" spans="1:15" s="61" customFormat="1" x14ac:dyDescent="0.3">
      <c r="A76" s="179" t="s">
        <v>61</v>
      </c>
      <c r="B76" s="81"/>
      <c r="C76" s="81"/>
      <c r="D76" s="81"/>
      <c r="E76" s="76"/>
      <c r="F76" s="76"/>
      <c r="G76" s="77"/>
      <c r="H76" s="76"/>
      <c r="I76" s="78"/>
      <c r="J76" s="283">
        <v>1207</v>
      </c>
      <c r="K76" s="256">
        <v>550000</v>
      </c>
      <c r="L76" s="78">
        <v>49770</v>
      </c>
      <c r="M76" s="78">
        <f>Table1[[#This Row],[PROPOSED FY 2021 WITH 14 % REDUCTION]]-Table1[[#This Row],[PROPOSED FY 2021]]</f>
        <v>-500230</v>
      </c>
      <c r="N76" s="170">
        <f>Table1[[#This Row],[$  OF REDUCTION]]/Table1[[#This Row],[PROPOSED FY 2021]]</f>
        <v>-0.90950909090909093</v>
      </c>
      <c r="O76" s="78">
        <v>49770</v>
      </c>
    </row>
    <row r="77" spans="1:15" s="23" customFormat="1" ht="25" thickBot="1" x14ac:dyDescent="0.35">
      <c r="A77" s="180" t="s">
        <v>51</v>
      </c>
      <c r="B77" s="70">
        <v>2145514</v>
      </c>
      <c r="C77" s="70">
        <v>2165326</v>
      </c>
      <c r="D77" s="70">
        <v>2114426</v>
      </c>
      <c r="E77" s="70">
        <v>2183619</v>
      </c>
      <c r="F77" s="70">
        <v>991544</v>
      </c>
      <c r="G77" s="71">
        <v>3753162</v>
      </c>
      <c r="H77" s="70">
        <v>1985247</v>
      </c>
      <c r="I77" s="72">
        <v>1123977</v>
      </c>
      <c r="J77" s="286">
        <v>2098501.2599999998</v>
      </c>
      <c r="K77" s="235">
        <f>2435653-SUM(K70:K76)</f>
        <v>1123921</v>
      </c>
      <c r="L77" s="72">
        <f>1292809.06+164687</f>
        <v>1457496.06</v>
      </c>
      <c r="M77" s="72">
        <f>Table1[[#This Row],[PROPOSED FY 2021]]-Table1[[#This Row],[PROPOSED FY 2021 WITH 14 % REDUCTION]]</f>
        <v>-333575.06000000006</v>
      </c>
      <c r="N77" s="170">
        <f>Table1[[#This Row],[$  OF REDUCTION]]/Table1[[#This Row],[PROPOSED FY 2021]]</f>
        <v>-0.29679582461756659</v>
      </c>
      <c r="O77" s="72">
        <v>1544537</v>
      </c>
    </row>
    <row r="78" spans="1:15" s="61" customFormat="1" ht="25" thickBot="1" x14ac:dyDescent="0.35">
      <c r="A78" s="144" t="s">
        <v>52</v>
      </c>
      <c r="B78" s="73">
        <f t="shared" ref="B78:H78" si="0">SUM(B70:B77)-B72</f>
        <v>2716262</v>
      </c>
      <c r="C78" s="73">
        <f t="shared" si="0"/>
        <v>2740426</v>
      </c>
      <c r="D78" s="73">
        <f t="shared" si="0"/>
        <v>2759426</v>
      </c>
      <c r="E78" s="73">
        <f t="shared" si="0"/>
        <v>2761619</v>
      </c>
      <c r="F78" s="73">
        <f t="shared" si="0"/>
        <v>991544</v>
      </c>
      <c r="G78" s="73">
        <f t="shared" si="0"/>
        <v>4322783.0599999996</v>
      </c>
      <c r="H78" s="73">
        <f t="shared" si="0"/>
        <v>2558247</v>
      </c>
      <c r="I78" s="73">
        <f>SUM(I70:I77)</f>
        <v>1123977</v>
      </c>
      <c r="J78" s="287">
        <f>J71+J72+J76+J77</f>
        <v>2424867.7899999996</v>
      </c>
      <c r="K78" s="258">
        <f>SUM(K70:K77)</f>
        <v>2435653</v>
      </c>
      <c r="L78" s="182">
        <f>SUM(L70:L77)</f>
        <v>2226998.06</v>
      </c>
      <c r="M78" s="73">
        <f>Table1[[#This Row],[PROPOSED FY 2021 WITH 14 % REDUCTION]]-Table1[[#This Row],[PROPOSED FY 2021]]</f>
        <v>-208654.93999999994</v>
      </c>
      <c r="N78" s="183">
        <f>Table1[[#This Row],[$  OF REDUCTION]]/Table1[[#This Row],[PROPOSED FY 2021]]</f>
        <v>-8.5666940241487577E-2</v>
      </c>
      <c r="O78" s="182">
        <f>SUM(O70:O77)</f>
        <v>2314039</v>
      </c>
    </row>
    <row r="79" spans="1:15" s="61" customFormat="1" x14ac:dyDescent="0.3">
      <c r="A79" s="142"/>
      <c r="B79" s="143"/>
      <c r="C79" s="143"/>
      <c r="D79" s="143"/>
      <c r="E79" s="122"/>
      <c r="F79" s="122"/>
      <c r="G79" s="123"/>
      <c r="H79" s="122"/>
      <c r="I79" s="122"/>
      <c r="J79" s="271"/>
      <c r="K79" s="143"/>
      <c r="L79" s="143"/>
      <c r="M79" s="143"/>
      <c r="N79" s="171"/>
      <c r="O79" s="143"/>
    </row>
    <row r="80" spans="1:15" s="84" customFormat="1" ht="27" thickBot="1" x14ac:dyDescent="0.35">
      <c r="A80" s="82"/>
      <c r="B80" s="83"/>
      <c r="C80" s="83"/>
      <c r="D80" s="83"/>
      <c r="E80" s="32"/>
      <c r="F80" s="32"/>
      <c r="G80" s="33"/>
      <c r="H80" s="32"/>
      <c r="I80" s="32"/>
      <c r="J80" s="278"/>
      <c r="K80" s="83"/>
      <c r="L80" s="83"/>
      <c r="M80" s="83"/>
      <c r="N80" s="172"/>
      <c r="O80" s="143"/>
    </row>
    <row r="81" spans="1:15" ht="27" thickBot="1" x14ac:dyDescent="0.35">
      <c r="A81" s="116" t="s">
        <v>72</v>
      </c>
      <c r="B81" s="117"/>
      <c r="C81" s="117"/>
      <c r="D81" s="117"/>
      <c r="E81" s="117"/>
      <c r="F81" s="117"/>
      <c r="G81" s="118"/>
      <c r="H81" s="117"/>
      <c r="I81" s="119"/>
      <c r="J81" s="120"/>
      <c r="K81" s="155"/>
      <c r="L81" s="155"/>
      <c r="M81" s="155"/>
      <c r="N81" s="173"/>
      <c r="O81" s="117"/>
    </row>
    <row r="82" spans="1:15" x14ac:dyDescent="0.3">
      <c r="A82" s="85" t="s">
        <v>40</v>
      </c>
      <c r="B82" s="86"/>
      <c r="C82" s="86"/>
      <c r="D82" s="86">
        <v>131500</v>
      </c>
      <c r="E82" s="86">
        <v>157200</v>
      </c>
      <c r="F82" s="86"/>
      <c r="G82" s="87">
        <v>151702</v>
      </c>
      <c r="H82" s="86">
        <v>103250</v>
      </c>
      <c r="I82" s="88"/>
      <c r="J82" s="288"/>
      <c r="K82" s="259">
        <v>0</v>
      </c>
      <c r="L82" s="88"/>
      <c r="M82" s="88"/>
      <c r="N82" s="174"/>
      <c r="O82" s="88"/>
    </row>
    <row r="83" spans="1:15" x14ac:dyDescent="0.3">
      <c r="A83" s="89" t="s">
        <v>41</v>
      </c>
      <c r="B83" s="90">
        <v>100000</v>
      </c>
      <c r="C83" s="90"/>
      <c r="D83" s="90"/>
      <c r="E83" s="90">
        <v>50000</v>
      </c>
      <c r="F83" s="90"/>
      <c r="G83" s="91">
        <v>50000</v>
      </c>
      <c r="H83" s="90">
        <v>50000</v>
      </c>
      <c r="I83" s="92"/>
      <c r="J83" s="289">
        <v>38835</v>
      </c>
      <c r="K83" s="260">
        <v>50000</v>
      </c>
      <c r="L83" s="92">
        <v>50000</v>
      </c>
      <c r="M83" s="92"/>
      <c r="N83" s="174">
        <f>Table1[[#This Row],[$  OF REDUCTION]]/Table1[[#This Row],[PROPOSED FY 2021]]</f>
        <v>0</v>
      </c>
      <c r="O83" s="92">
        <v>50000</v>
      </c>
    </row>
    <row r="84" spans="1:15" x14ac:dyDescent="0.3">
      <c r="A84" s="89" t="s">
        <v>65</v>
      </c>
      <c r="B84" s="90"/>
      <c r="C84" s="90"/>
      <c r="D84" s="90"/>
      <c r="E84" s="90"/>
      <c r="F84" s="90"/>
      <c r="G84" s="91"/>
      <c r="H84" s="90"/>
      <c r="I84" s="92">
        <v>10000</v>
      </c>
      <c r="J84" s="289"/>
      <c r="K84" s="260">
        <v>22000</v>
      </c>
      <c r="L84" s="92">
        <v>22000</v>
      </c>
      <c r="M84" s="92"/>
      <c r="N84" s="174">
        <f>Table1[[#This Row],[$  OF REDUCTION]]/Table1[[#This Row],[PROPOSED FY 2021]]</f>
        <v>0</v>
      </c>
      <c r="O84" s="92">
        <v>22000</v>
      </c>
    </row>
    <row r="85" spans="1:15" x14ac:dyDescent="0.3">
      <c r="A85" s="89" t="s">
        <v>113</v>
      </c>
      <c r="B85" s="90">
        <v>5382525</v>
      </c>
      <c r="C85" s="90">
        <v>5480851</v>
      </c>
      <c r="D85" s="90">
        <v>5518852</v>
      </c>
      <c r="E85" s="90">
        <v>5419638</v>
      </c>
      <c r="F85" s="90"/>
      <c r="G85" s="91">
        <v>5419638</v>
      </c>
      <c r="H85" s="90">
        <v>10079736</v>
      </c>
      <c r="I85" s="92">
        <v>4289437</v>
      </c>
      <c r="J85" s="289">
        <v>5069893.5</v>
      </c>
      <c r="K85" s="260">
        <v>4855305</v>
      </c>
      <c r="L85" s="92">
        <v>8774365</v>
      </c>
      <c r="M85" s="92"/>
      <c r="N85" s="174">
        <f>Table1[[#This Row],[$  OF REDUCTION]]/Table1[[#This Row],[PROPOSED FY 2021]]</f>
        <v>0</v>
      </c>
      <c r="O85" s="92">
        <v>9184156</v>
      </c>
    </row>
    <row r="86" spans="1:15" s="23" customFormat="1" x14ac:dyDescent="0.3">
      <c r="A86" s="93" t="s">
        <v>42</v>
      </c>
      <c r="B86" s="94">
        <v>1000000</v>
      </c>
      <c r="C86" s="94">
        <v>1000000</v>
      </c>
      <c r="D86" s="94">
        <v>1000000</v>
      </c>
      <c r="E86" s="94">
        <v>1000000</v>
      </c>
      <c r="F86" s="94"/>
      <c r="G86" s="95">
        <v>1000000</v>
      </c>
      <c r="H86" s="94">
        <v>1000000</v>
      </c>
      <c r="I86" s="96"/>
      <c r="J86" s="290">
        <v>1000000</v>
      </c>
      <c r="K86" s="261">
        <v>1007352</v>
      </c>
      <c r="L86" s="96"/>
      <c r="M86" s="96"/>
      <c r="N86" s="174">
        <f>Table1[[#This Row],[$  OF REDUCTION]]/Table1[[#This Row],[PROPOSED FY 2021]]</f>
        <v>0</v>
      </c>
      <c r="O86" s="224"/>
    </row>
    <row r="87" spans="1:15" s="23" customFormat="1" x14ac:dyDescent="0.3">
      <c r="A87" s="89" t="s">
        <v>108</v>
      </c>
      <c r="B87" s="90"/>
      <c r="C87" s="90"/>
      <c r="D87" s="90"/>
      <c r="E87" s="90"/>
      <c r="F87" s="231"/>
      <c r="G87" s="91"/>
      <c r="H87" s="90"/>
      <c r="I87" s="90">
        <v>195877</v>
      </c>
      <c r="J87" s="289"/>
      <c r="K87" s="262"/>
      <c r="L87" s="228">
        <f>Table1[[#This Row],[PROPOSED FY 2021]]*14%</f>
        <v>0</v>
      </c>
      <c r="M87" s="228"/>
      <c r="N87" s="222"/>
      <c r="O87" s="224"/>
    </row>
    <row r="88" spans="1:15" s="23" customFormat="1" x14ac:dyDescent="0.3">
      <c r="A88" s="89" t="s">
        <v>109</v>
      </c>
      <c r="B88" s="90"/>
      <c r="C88" s="90"/>
      <c r="D88" s="90"/>
      <c r="E88" s="90"/>
      <c r="F88" s="231"/>
      <c r="G88" s="91"/>
      <c r="H88" s="90"/>
      <c r="I88" s="90">
        <v>48970</v>
      </c>
      <c r="J88" s="289"/>
      <c r="K88" s="262"/>
      <c r="L88" s="228">
        <f>Table1[[#This Row],[PROPOSED FY 2021]]*14%</f>
        <v>0</v>
      </c>
      <c r="M88" s="228"/>
      <c r="N88" s="222"/>
      <c r="O88" s="224"/>
    </row>
    <row r="89" spans="1:15" s="23" customFormat="1" x14ac:dyDescent="0.3">
      <c r="A89" s="89" t="s">
        <v>111</v>
      </c>
      <c r="B89" s="90"/>
      <c r="C89" s="90"/>
      <c r="D89" s="90"/>
      <c r="E89" s="90"/>
      <c r="F89" s="231"/>
      <c r="G89" s="91"/>
      <c r="H89" s="90"/>
      <c r="I89" s="90">
        <v>300000</v>
      </c>
      <c r="J89" s="289"/>
      <c r="K89" s="262"/>
      <c r="L89" s="228">
        <f>Table1[[#This Row],[PROPOSED FY 2021]]*14%</f>
        <v>0</v>
      </c>
      <c r="M89" s="228"/>
      <c r="N89" s="222"/>
      <c r="O89" s="224"/>
    </row>
    <row r="90" spans="1:15" s="23" customFormat="1" x14ac:dyDescent="0.3">
      <c r="A90" s="89" t="s">
        <v>110</v>
      </c>
      <c r="B90" s="90"/>
      <c r="C90" s="90"/>
      <c r="D90" s="90"/>
      <c r="E90" s="90"/>
      <c r="F90" s="231"/>
      <c r="G90" s="91"/>
      <c r="H90" s="90"/>
      <c r="I90" s="90">
        <v>407685</v>
      </c>
      <c r="J90" s="289"/>
      <c r="K90" s="262"/>
      <c r="L90" s="228">
        <f>Table1[[#This Row],[PROPOSED FY 2021]]*14%</f>
        <v>0</v>
      </c>
      <c r="M90" s="228"/>
      <c r="N90" s="222"/>
      <c r="O90" s="224"/>
    </row>
    <row r="91" spans="1:15" s="23" customFormat="1" x14ac:dyDescent="0.3">
      <c r="A91" s="89" t="s">
        <v>82</v>
      </c>
      <c r="B91" s="90"/>
      <c r="C91" s="90"/>
      <c r="D91" s="90"/>
      <c r="E91" s="90"/>
      <c r="F91" s="231"/>
      <c r="G91" s="91"/>
      <c r="H91" s="90"/>
      <c r="I91" s="90">
        <f>55153</f>
        <v>55153</v>
      </c>
      <c r="J91" s="289"/>
      <c r="K91" s="262"/>
      <c r="L91" s="228">
        <f>Table1[[#This Row],[PROPOSED FY 2021]]*14%</f>
        <v>0</v>
      </c>
      <c r="M91" s="228"/>
      <c r="N91" s="222"/>
      <c r="O91" s="224"/>
    </row>
    <row r="92" spans="1:15" s="23" customFormat="1" x14ac:dyDescent="0.3">
      <c r="A92" s="89" t="s">
        <v>112</v>
      </c>
      <c r="B92" s="90"/>
      <c r="C92" s="90"/>
      <c r="D92" s="90"/>
      <c r="E92" s="90"/>
      <c r="F92" s="231"/>
      <c r="G92" s="91"/>
      <c r="H92" s="90"/>
      <c r="I92" s="90">
        <v>7862</v>
      </c>
      <c r="J92" s="289"/>
      <c r="K92" s="262"/>
      <c r="L92" s="228">
        <f>Table1[[#This Row],[PROPOSED FY 2021]]*14%</f>
        <v>0</v>
      </c>
      <c r="M92" s="228"/>
      <c r="N92" s="222"/>
      <c r="O92" s="224"/>
    </row>
    <row r="93" spans="1:15" s="23" customFormat="1" x14ac:dyDescent="0.3">
      <c r="A93" s="89"/>
      <c r="B93" s="90"/>
      <c r="C93" s="90"/>
      <c r="D93" s="90"/>
      <c r="E93" s="90"/>
      <c r="F93" s="231"/>
      <c r="G93" s="91"/>
      <c r="H93" s="90"/>
      <c r="I93" s="90"/>
      <c r="J93" s="289"/>
      <c r="K93" s="262"/>
      <c r="L93" s="228">
        <f>Table1[[#This Row],[PROPOSED FY 2021]]*14%</f>
        <v>0</v>
      </c>
      <c r="M93" s="228"/>
      <c r="N93" s="222"/>
      <c r="O93" s="224"/>
    </row>
    <row r="94" spans="1:15" s="23" customFormat="1" ht="25" thickBot="1" x14ac:dyDescent="0.35">
      <c r="A94" s="89"/>
      <c r="B94" s="90"/>
      <c r="C94" s="90"/>
      <c r="D94" s="90"/>
      <c r="E94" s="90"/>
      <c r="F94" s="231"/>
      <c r="G94" s="91"/>
      <c r="H94" s="90"/>
      <c r="I94" s="90"/>
      <c r="J94" s="289"/>
      <c r="K94" s="262"/>
      <c r="L94" s="228">
        <f>Table1[[#This Row],[PROPOSED FY 2021]]*14%</f>
        <v>0</v>
      </c>
      <c r="M94" s="228"/>
      <c r="N94" s="222"/>
      <c r="O94" s="224"/>
    </row>
    <row r="95" spans="1:15" ht="25" thickBot="1" x14ac:dyDescent="0.35">
      <c r="A95" s="229" t="s">
        <v>43</v>
      </c>
      <c r="B95" s="230">
        <f>SUM(B83:B86)</f>
        <v>6482525</v>
      </c>
      <c r="C95" s="230">
        <f>SUM(C85:C86)</f>
        <v>6480851</v>
      </c>
      <c r="D95" s="230">
        <f>SUM(D82:D86)</f>
        <v>6650352</v>
      </c>
      <c r="E95" s="230">
        <f>SUM(E82:E86)</f>
        <v>6626838</v>
      </c>
      <c r="F95" s="230">
        <f>SUM(F82:F86)</f>
        <v>0</v>
      </c>
      <c r="G95" s="230">
        <f>SUM(G82:G86)</f>
        <v>6621340</v>
      </c>
      <c r="H95" s="230">
        <f>SUM(H82:H86)</f>
        <v>11232986</v>
      </c>
      <c r="I95" s="230">
        <f>SUM(I82:I94)</f>
        <v>5314984</v>
      </c>
      <c r="J95" s="291">
        <f>SUM(J82:J86)</f>
        <v>6108728.5</v>
      </c>
      <c r="K95" s="263">
        <f>SUM(K82:K86)</f>
        <v>5934657</v>
      </c>
      <c r="L95" s="185">
        <f>SUM(L82:L86)</f>
        <v>8846365</v>
      </c>
      <c r="M95" s="185">
        <f>Table1[[#This Row],[PROPOSED FY 2021 WITH 14 % REDUCTION]]-Table1[[#This Row],[PROPOSED FY 2021]]</f>
        <v>2911708</v>
      </c>
      <c r="N95" s="186">
        <f>Table1[[#This Row],[$  OF REDUCTION]]/Table1[[#This Row],[PROPOSED FY 2021]]</f>
        <v>0.49062784925902203</v>
      </c>
      <c r="O95" s="185">
        <f>SUM(O82:O85)</f>
        <v>9256156</v>
      </c>
    </row>
    <row r="96" spans="1:15" s="23" customFormat="1" ht="25" thickBot="1" x14ac:dyDescent="0.35">
      <c r="A96" s="190"/>
      <c r="B96" s="191"/>
      <c r="C96" s="191"/>
      <c r="D96" s="191"/>
      <c r="E96" s="191"/>
      <c r="F96" s="191"/>
      <c r="G96" s="192"/>
      <c r="H96" s="191"/>
      <c r="I96" s="191"/>
      <c r="J96" s="292"/>
      <c r="K96" s="191"/>
      <c r="L96" s="191">
        <v>1007352</v>
      </c>
      <c r="M96" s="191"/>
      <c r="N96" s="193"/>
      <c r="O96" s="94">
        <v>1007352</v>
      </c>
    </row>
    <row r="97" spans="1:15" ht="25" thickBot="1" x14ac:dyDescent="0.35">
      <c r="A97" s="187" t="s">
        <v>44</v>
      </c>
      <c r="B97" s="188">
        <f>B95+B78+B66+B61+B33+B64</f>
        <v>10879969</v>
      </c>
      <c r="C97" s="188">
        <f>C95+C78+C66+C61+C33</f>
        <v>10667693</v>
      </c>
      <c r="D97" s="188">
        <f>D95+D78+D66+D61+D33</f>
        <v>10902900</v>
      </c>
      <c r="E97" s="188">
        <f>E95+E66+E64+E33+E78+E61</f>
        <v>11174441</v>
      </c>
      <c r="F97" s="188" t="e">
        <f>F95+F66+F64+#REF!+F33+F78+F61</f>
        <v>#REF!</v>
      </c>
      <c r="G97" s="188" t="e">
        <f>G95+G6+G64+#REF!+G672+G33+G78+G61</f>
        <v>#REF!</v>
      </c>
      <c r="H97" s="188">
        <f>H95+H66+H64+H33+H78+H61</f>
        <v>16035246</v>
      </c>
      <c r="I97" s="188">
        <f>I95+I66+I64+I33+I78+I61</f>
        <v>6474891.6699999999</v>
      </c>
      <c r="J97" s="293">
        <f>J95+J66+J64+J33+J78+J61</f>
        <v>10063364.620000001</v>
      </c>
      <c r="K97" s="188">
        <f>K95+K66+K64+K33+K78+K61</f>
        <v>10930915</v>
      </c>
      <c r="L97" s="188">
        <f>L95+L66+L64+L33+L78+L96+L61</f>
        <v>14406116.550000001</v>
      </c>
      <c r="M97" s="188">
        <f>M95+M78+M66+M64+M61</f>
        <v>2452849.5499999998</v>
      </c>
      <c r="N97" s="189">
        <f>Table1[[#This Row],[$  OF REDUCTION]]/Table1[[#This Row],[PROPOSED FY 2021]]</f>
        <v>0.22439562927714649</v>
      </c>
      <c r="O97" s="223">
        <f>O95+O66+O64+O33+O78+O61+O96</f>
        <v>14908655</v>
      </c>
    </row>
    <row r="98" spans="1:15" x14ac:dyDescent="0.3">
      <c r="A98" s="297"/>
      <c r="B98" s="298"/>
      <c r="C98" s="298"/>
      <c r="D98" s="298"/>
      <c r="E98" s="298"/>
      <c r="F98" s="194"/>
      <c r="G98" s="300"/>
      <c r="H98" s="298"/>
      <c r="I98" s="298"/>
      <c r="J98" s="298"/>
      <c r="K98" s="298"/>
      <c r="L98" s="298">
        <f>Table1[[#This Row],[PROPOSED FY 2021]]*14%</f>
        <v>0</v>
      </c>
      <c r="M98" s="298"/>
      <c r="N98" s="299"/>
      <c r="O98" s="298"/>
    </row>
    <row r="99" spans="1:15" x14ac:dyDescent="0.3">
      <c r="A99" s="97"/>
      <c r="C99" s="98"/>
      <c r="D99" s="98"/>
      <c r="E99" s="98"/>
      <c r="F99" s="98"/>
      <c r="G99" s="99"/>
      <c r="H99" s="98"/>
      <c r="I99" s="296"/>
      <c r="J99" s="98"/>
      <c r="L99" s="98"/>
      <c r="M99" s="98"/>
      <c r="O99" s="98">
        <f>L97-O97</f>
        <v>-502538.44999999925</v>
      </c>
    </row>
    <row r="100" spans="1:15" x14ac:dyDescent="0.3">
      <c r="C100" s="98"/>
      <c r="D100" s="98"/>
      <c r="E100" s="98"/>
      <c r="F100" s="98"/>
      <c r="G100" s="99"/>
      <c r="H100" s="98"/>
      <c r="I100" s="296">
        <v>23510207</v>
      </c>
      <c r="J100" s="98"/>
      <c r="L100" s="98"/>
      <c r="M100" s="98"/>
      <c r="O100" s="98"/>
    </row>
    <row r="101" spans="1:15" x14ac:dyDescent="0.3">
      <c r="E101" s="98" t="e">
        <f>E97+F97-G97</f>
        <v>#REF!</v>
      </c>
      <c r="F101" s="98"/>
      <c r="H101" s="61"/>
      <c r="I101" s="295">
        <f>H97+I97</f>
        <v>22510137.670000002</v>
      </c>
      <c r="K101" s="11"/>
      <c r="L101" s="181"/>
      <c r="M101" s="98"/>
    </row>
    <row r="102" spans="1:15" x14ac:dyDescent="0.3">
      <c r="E102" s="98"/>
      <c r="F102" s="98"/>
      <c r="I102" s="294">
        <f>I100-I101</f>
        <v>1000069.3299999982</v>
      </c>
      <c r="K102" s="11"/>
      <c r="L102" s="98"/>
      <c r="M102" s="98"/>
    </row>
    <row r="103" spans="1:15" ht="25" thickBot="1" x14ac:dyDescent="0.35">
      <c r="F103" s="98"/>
      <c r="H103" s="98"/>
      <c r="I103" s="98"/>
      <c r="K103" s="181"/>
    </row>
    <row r="104" spans="1:15" ht="25" thickBot="1" x14ac:dyDescent="0.35">
      <c r="H104" s="218" t="s">
        <v>90</v>
      </c>
      <c r="I104" s="219"/>
      <c r="J104" s="236"/>
      <c r="K104" s="236"/>
    </row>
    <row r="105" spans="1:15" x14ac:dyDescent="0.3">
      <c r="H105" s="97" t="s">
        <v>91</v>
      </c>
      <c r="I105" s="209">
        <v>39207.339999999997</v>
      </c>
      <c r="K105" s="11"/>
      <c r="L105" s="175"/>
      <c r="M105" s="175"/>
      <c r="N105" s="11"/>
      <c r="O105" s="11"/>
    </row>
    <row r="106" spans="1:15" x14ac:dyDescent="0.3">
      <c r="H106" s="97" t="s">
        <v>92</v>
      </c>
      <c r="I106" s="209">
        <v>54348.29</v>
      </c>
      <c r="K106" s="11"/>
      <c r="L106" s="175"/>
      <c r="M106" s="175"/>
      <c r="N106" s="11"/>
      <c r="O106" s="11"/>
    </row>
    <row r="107" spans="1:15" ht="25" thickBot="1" x14ac:dyDescent="0.35">
      <c r="H107" s="97" t="s">
        <v>94</v>
      </c>
      <c r="I107" s="210">
        <v>252800</v>
      </c>
      <c r="K107" s="11"/>
      <c r="L107" s="175"/>
      <c r="M107" s="175"/>
      <c r="N107" s="11"/>
      <c r="O107" s="11"/>
    </row>
    <row r="108" spans="1:15" s="23" customFormat="1" ht="25" thickTop="1" x14ac:dyDescent="0.3">
      <c r="B108" s="194"/>
      <c r="G108" s="195"/>
      <c r="H108" s="211" t="s">
        <v>93</v>
      </c>
      <c r="I108" s="212">
        <f>SUM(I105:I107)</f>
        <v>346355.63</v>
      </c>
      <c r="L108" s="196"/>
      <c r="M108" s="196"/>
    </row>
    <row r="109" spans="1:15" x14ac:dyDescent="0.3">
      <c r="H109" s="97"/>
      <c r="I109" s="209" t="s">
        <v>95</v>
      </c>
      <c r="K109" s="11"/>
      <c r="L109" s="175"/>
      <c r="M109" s="175"/>
      <c r="N109" s="11"/>
      <c r="O109" s="11"/>
    </row>
    <row r="110" spans="1:15" x14ac:dyDescent="0.3">
      <c r="H110" s="213" t="s">
        <v>102</v>
      </c>
      <c r="I110" s="209"/>
      <c r="K110" s="11"/>
      <c r="L110" s="175"/>
      <c r="M110" s="175"/>
      <c r="N110" s="11"/>
      <c r="O110" s="11"/>
    </row>
    <row r="111" spans="1:15" x14ac:dyDescent="0.3">
      <c r="H111" s="97" t="s">
        <v>103</v>
      </c>
      <c r="I111" s="214">
        <v>42000</v>
      </c>
      <c r="K111" s="11"/>
      <c r="L111" s="175"/>
      <c r="M111" s="175"/>
      <c r="N111" s="11"/>
      <c r="O111" s="11"/>
    </row>
    <row r="112" spans="1:15" x14ac:dyDescent="0.3">
      <c r="H112" s="97" t="s">
        <v>97</v>
      </c>
      <c r="I112" s="214">
        <v>20101.560000000001</v>
      </c>
      <c r="K112" s="11"/>
      <c r="L112" s="175"/>
      <c r="M112" s="175"/>
      <c r="N112" s="11"/>
      <c r="O112" s="11"/>
    </row>
    <row r="113" spans="8:15" x14ac:dyDescent="0.3">
      <c r="H113" s="97" t="s">
        <v>101</v>
      </c>
      <c r="I113" s="214">
        <v>5000</v>
      </c>
      <c r="K113" s="11"/>
      <c r="L113" s="175"/>
      <c r="M113" s="175"/>
      <c r="N113" s="11"/>
      <c r="O113" s="11"/>
    </row>
    <row r="114" spans="8:15" ht="25" thickBot="1" x14ac:dyDescent="0.35">
      <c r="H114" s="97" t="s">
        <v>100</v>
      </c>
      <c r="I114" s="215">
        <v>7879</v>
      </c>
      <c r="K114" s="11"/>
      <c r="L114" s="175"/>
      <c r="M114" s="175"/>
      <c r="N114" s="11"/>
      <c r="O114" s="11"/>
    </row>
    <row r="115" spans="8:15" ht="26" thickTop="1" thickBot="1" x14ac:dyDescent="0.35">
      <c r="H115" s="216" t="s">
        <v>96</v>
      </c>
      <c r="I115" s="217">
        <v>271375.07</v>
      </c>
      <c r="K115" s="11"/>
      <c r="L115" s="175"/>
      <c r="M115" s="175"/>
      <c r="N115" s="11"/>
      <c r="O115" s="11"/>
    </row>
  </sheetData>
  <phoneticPr fontId="2" type="noConversion"/>
  <pageMargins left="0.7" right="0.7" top="0.75" bottom="0.75" header="0.3" footer="0.3"/>
  <pageSetup orientation="landscape" horizontalDpi="0" verticalDpi="0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06DD4-542B-A34A-A80B-357FA4854A55}">
  <sheetPr>
    <tabColor rgb="FF00B050"/>
    <pageSetUpPr fitToPage="1"/>
  </sheetPr>
  <dimension ref="A1:P120"/>
  <sheetViews>
    <sheetView tabSelected="1" topLeftCell="A76" zoomScale="90" zoomScaleNormal="90" workbookViewId="0">
      <selection activeCell="G74" sqref="G74"/>
    </sheetView>
  </sheetViews>
  <sheetFormatPr baseColWidth="10" defaultRowHeight="43" customHeight="1" x14ac:dyDescent="0.3"/>
  <cols>
    <col min="1" max="1" width="80.6640625" bestFit="1" customWidth="1"/>
    <col min="2" max="3" width="27.6640625" style="197" customWidth="1"/>
    <col min="4" max="4" width="27.83203125" style="197" customWidth="1"/>
    <col min="5" max="5" width="30.1640625" style="197" hidden="1" customWidth="1"/>
    <col min="6" max="6" width="27" style="408" customWidth="1"/>
    <col min="7" max="7" width="33" style="197" customWidth="1"/>
    <col min="8" max="8" width="255.6640625" customWidth="1"/>
    <col min="15" max="15" width="32.5" style="181" customWidth="1"/>
    <col min="16" max="16" width="48" style="181" customWidth="1"/>
  </cols>
  <sheetData>
    <row r="1" spans="1:8" ht="83" customHeight="1" thickBot="1" x14ac:dyDescent="0.35">
      <c r="A1" s="487" t="s">
        <v>5</v>
      </c>
      <c r="B1" s="422" t="s">
        <v>271</v>
      </c>
      <c r="C1" s="422" t="s">
        <v>272</v>
      </c>
      <c r="D1" s="422" t="s">
        <v>274</v>
      </c>
      <c r="E1" s="556" t="s">
        <v>197</v>
      </c>
      <c r="F1" s="434" t="s">
        <v>198</v>
      </c>
      <c r="G1" s="422" t="s">
        <v>199</v>
      </c>
      <c r="H1" s="264" t="s">
        <v>217</v>
      </c>
    </row>
    <row r="2" spans="1:8" ht="43" customHeight="1" thickBot="1" x14ac:dyDescent="0.35">
      <c r="A2" s="578" t="s">
        <v>69</v>
      </c>
      <c r="B2" s="421"/>
      <c r="C2" s="421"/>
      <c r="D2" s="421"/>
      <c r="E2" s="557"/>
      <c r="F2" s="435"/>
      <c r="G2" s="421"/>
      <c r="H2" s="619"/>
    </row>
    <row r="3" spans="1:8" ht="28" customHeight="1" x14ac:dyDescent="0.3">
      <c r="A3" s="448" t="s">
        <v>0</v>
      </c>
      <c r="B3" s="664">
        <f>425566.13+105000+13566</f>
        <v>544132.13</v>
      </c>
      <c r="C3" s="588"/>
      <c r="D3" s="409">
        <f>78483+103016+109631+87000+175000+21325.2</f>
        <v>574455.19999999995</v>
      </c>
      <c r="E3" s="238"/>
      <c r="F3" s="436">
        <f>E3/D3</f>
        <v>0</v>
      </c>
      <c r="G3" s="265">
        <f>D3-E3</f>
        <v>574455.19999999995</v>
      </c>
      <c r="H3" s="620" t="s">
        <v>286</v>
      </c>
    </row>
    <row r="4" spans="1:8" ht="28" customHeight="1" x14ac:dyDescent="0.3">
      <c r="A4" s="536" t="s">
        <v>1</v>
      </c>
      <c r="B4" s="559">
        <f>B3*61.884%+3731+30404+64978.2</f>
        <v>435843.92732920003</v>
      </c>
      <c r="C4" s="589"/>
      <c r="D4" s="559">
        <f>D3*67.614%</f>
        <v>388412.138928</v>
      </c>
      <c r="E4" s="244"/>
      <c r="F4" s="537">
        <f t="shared" ref="F4:F15" si="0">E4/D4</f>
        <v>0</v>
      </c>
      <c r="G4" s="538">
        <f t="shared" ref="G4:G15" si="1">D4-E4</f>
        <v>388412.138928</v>
      </c>
      <c r="H4" s="621" t="s">
        <v>275</v>
      </c>
    </row>
    <row r="5" spans="1:8" ht="28" customHeight="1" x14ac:dyDescent="0.3">
      <c r="A5" s="449" t="s">
        <v>4</v>
      </c>
      <c r="B5" s="559">
        <v>16229</v>
      </c>
      <c r="C5" s="589"/>
      <c r="D5" s="559">
        <v>55237.23</v>
      </c>
      <c r="E5" s="244"/>
      <c r="F5" s="537">
        <f t="shared" si="0"/>
        <v>0</v>
      </c>
      <c r="G5" s="538">
        <f t="shared" si="1"/>
        <v>55237.23</v>
      </c>
      <c r="H5" s="621" t="s">
        <v>280</v>
      </c>
    </row>
    <row r="6" spans="1:8" ht="28" customHeight="1" x14ac:dyDescent="0.3">
      <c r="A6" s="449" t="s">
        <v>117</v>
      </c>
      <c r="B6" s="410">
        <v>35000</v>
      </c>
      <c r="C6" s="589"/>
      <c r="D6" s="410">
        <v>35000</v>
      </c>
      <c r="E6" s="239"/>
      <c r="F6" s="436">
        <f>E6/D6</f>
        <v>0</v>
      </c>
      <c r="G6" s="265">
        <f t="shared" si="1"/>
        <v>35000</v>
      </c>
      <c r="H6" s="622" t="s">
        <v>233</v>
      </c>
    </row>
    <row r="7" spans="1:8" ht="28" customHeight="1" x14ac:dyDescent="0.3">
      <c r="A7" s="449" t="s">
        <v>3</v>
      </c>
      <c r="B7" s="410">
        <v>8500</v>
      </c>
      <c r="C7" s="589"/>
      <c r="D7" s="410">
        <v>8500</v>
      </c>
      <c r="E7" s="239"/>
      <c r="F7" s="436">
        <f t="shared" si="0"/>
        <v>0</v>
      </c>
      <c r="G7" s="265">
        <f t="shared" si="1"/>
        <v>8500</v>
      </c>
      <c r="H7" s="623" t="s">
        <v>234</v>
      </c>
    </row>
    <row r="8" spans="1:8" ht="28" customHeight="1" x14ac:dyDescent="0.3">
      <c r="A8" s="449" t="s">
        <v>10</v>
      </c>
      <c r="B8" s="410">
        <v>7800</v>
      </c>
      <c r="C8" s="589"/>
      <c r="D8" s="410">
        <v>7800</v>
      </c>
      <c r="E8" s="239"/>
      <c r="F8" s="436">
        <f t="shared" si="0"/>
        <v>0</v>
      </c>
      <c r="G8" s="265">
        <f t="shared" si="1"/>
        <v>7800</v>
      </c>
      <c r="H8" s="622" t="s">
        <v>232</v>
      </c>
    </row>
    <row r="9" spans="1:8" ht="28" customHeight="1" x14ac:dyDescent="0.3">
      <c r="A9" s="449" t="s">
        <v>205</v>
      </c>
      <c r="B9" s="410">
        <f>396+900</f>
        <v>1296</v>
      </c>
      <c r="C9" s="589"/>
      <c r="D9" s="410">
        <v>1296</v>
      </c>
      <c r="E9" s="239"/>
      <c r="F9" s="436">
        <f t="shared" si="0"/>
        <v>0</v>
      </c>
      <c r="G9" s="265">
        <f t="shared" si="1"/>
        <v>1296</v>
      </c>
      <c r="H9" s="622" t="s">
        <v>281</v>
      </c>
    </row>
    <row r="10" spans="1:8" ht="28" customHeight="1" x14ac:dyDescent="0.3">
      <c r="A10" s="449" t="s">
        <v>22</v>
      </c>
      <c r="B10" s="410">
        <v>6500</v>
      </c>
      <c r="C10" s="589"/>
      <c r="D10" s="410">
        <v>6500</v>
      </c>
      <c r="E10" s="239"/>
      <c r="F10" s="436">
        <f t="shared" si="0"/>
        <v>0</v>
      </c>
      <c r="G10" s="265">
        <f t="shared" si="1"/>
        <v>6500</v>
      </c>
      <c r="H10" s="622" t="s">
        <v>235</v>
      </c>
    </row>
    <row r="11" spans="1:8" ht="28" customHeight="1" x14ac:dyDescent="0.3">
      <c r="A11" s="449" t="s">
        <v>171</v>
      </c>
      <c r="B11" s="410">
        <v>5000</v>
      </c>
      <c r="C11" s="589"/>
      <c r="D11" s="410">
        <v>5000</v>
      </c>
      <c r="E11" s="239"/>
      <c r="F11" s="436">
        <f t="shared" si="0"/>
        <v>0</v>
      </c>
      <c r="G11" s="265">
        <f t="shared" si="1"/>
        <v>5000</v>
      </c>
      <c r="H11" s="622"/>
    </row>
    <row r="12" spans="1:8" ht="28" customHeight="1" x14ac:dyDescent="0.3">
      <c r="A12" s="449" t="s">
        <v>24</v>
      </c>
      <c r="B12" s="410">
        <v>200</v>
      </c>
      <c r="C12" s="589"/>
      <c r="D12" s="410">
        <v>200</v>
      </c>
      <c r="E12" s="239"/>
      <c r="F12" s="436">
        <f t="shared" si="0"/>
        <v>0</v>
      </c>
      <c r="G12" s="265">
        <f t="shared" si="1"/>
        <v>200</v>
      </c>
      <c r="H12" s="622"/>
    </row>
    <row r="13" spans="1:8" ht="28" customHeight="1" x14ac:dyDescent="0.3">
      <c r="A13" s="449" t="s">
        <v>25</v>
      </c>
      <c r="B13" s="410">
        <v>164300</v>
      </c>
      <c r="C13" s="589"/>
      <c r="D13" s="410">
        <v>164300</v>
      </c>
      <c r="E13" s="239"/>
      <c r="F13" s="436">
        <f t="shared" si="0"/>
        <v>0</v>
      </c>
      <c r="G13" s="265">
        <f t="shared" si="1"/>
        <v>164300</v>
      </c>
      <c r="H13" s="622" t="s">
        <v>236</v>
      </c>
    </row>
    <row r="14" spans="1:8" ht="28" customHeight="1" x14ac:dyDescent="0.3">
      <c r="A14" s="449" t="s">
        <v>64</v>
      </c>
      <c r="B14" s="410">
        <v>0</v>
      </c>
      <c r="C14" s="589"/>
      <c r="D14" s="410">
        <v>0</v>
      </c>
      <c r="E14" s="239"/>
      <c r="F14" s="436" t="e">
        <f t="shared" si="0"/>
        <v>#DIV/0!</v>
      </c>
      <c r="G14" s="265">
        <f t="shared" si="1"/>
        <v>0</v>
      </c>
      <c r="H14" s="622" t="s">
        <v>220</v>
      </c>
    </row>
    <row r="15" spans="1:8" ht="28" customHeight="1" x14ac:dyDescent="0.3">
      <c r="A15" s="450" t="s">
        <v>86</v>
      </c>
      <c r="B15" s="411">
        <v>1500</v>
      </c>
      <c r="C15" s="590"/>
      <c r="D15" s="411">
        <v>1500</v>
      </c>
      <c r="E15" s="241"/>
      <c r="F15" s="436">
        <f t="shared" si="0"/>
        <v>0</v>
      </c>
      <c r="G15" s="265">
        <f t="shared" si="1"/>
        <v>1500</v>
      </c>
      <c r="H15" s="624" t="s">
        <v>219</v>
      </c>
    </row>
    <row r="16" spans="1:8" ht="28" customHeight="1" thickBot="1" x14ac:dyDescent="0.35">
      <c r="A16" s="450"/>
      <c r="B16" s="411"/>
      <c r="C16" s="590"/>
      <c r="D16" s="411"/>
      <c r="E16" s="241"/>
      <c r="F16" s="437"/>
      <c r="G16" s="265"/>
      <c r="H16" s="624"/>
    </row>
    <row r="17" spans="1:8" ht="28" customHeight="1" thickBot="1" x14ac:dyDescent="0.35">
      <c r="A17" s="423" t="s">
        <v>11</v>
      </c>
      <c r="B17" s="412">
        <f>SUM(B18:B20)</f>
        <v>26900</v>
      </c>
      <c r="C17" s="464"/>
      <c r="D17" s="412">
        <f>SUM(D18:D20)</f>
        <v>27500</v>
      </c>
      <c r="E17" s="558">
        <f>SUM(E18:E20)</f>
        <v>0</v>
      </c>
      <c r="F17" s="492">
        <f>E17/D17</f>
        <v>0</v>
      </c>
      <c r="G17" s="412">
        <f>D17-E17</f>
        <v>27500</v>
      </c>
      <c r="H17" s="625"/>
    </row>
    <row r="18" spans="1:8" ht="28" customHeight="1" x14ac:dyDescent="0.3">
      <c r="A18" s="451" t="s">
        <v>75</v>
      </c>
      <c r="B18" s="409">
        <v>1900</v>
      </c>
      <c r="C18" s="588"/>
      <c r="D18" s="409">
        <v>1900</v>
      </c>
      <c r="E18" s="238"/>
      <c r="F18" s="438">
        <f>E18/D18</f>
        <v>0</v>
      </c>
      <c r="G18" s="265">
        <f>D18-E18</f>
        <v>1900</v>
      </c>
      <c r="H18" s="620" t="s">
        <v>282</v>
      </c>
    </row>
    <row r="19" spans="1:8" ht="28" customHeight="1" x14ac:dyDescent="0.3">
      <c r="A19" s="452" t="s">
        <v>12</v>
      </c>
      <c r="B19" s="410">
        <v>16000</v>
      </c>
      <c r="C19" s="589"/>
      <c r="D19" s="410">
        <v>16000</v>
      </c>
      <c r="E19" s="239"/>
      <c r="F19" s="438">
        <f>E19/D19</f>
        <v>0</v>
      </c>
      <c r="G19" s="266">
        <f>D19-E19</f>
        <v>16000</v>
      </c>
      <c r="H19" s="622" t="s">
        <v>237</v>
      </c>
    </row>
    <row r="20" spans="1:8" ht="28" customHeight="1" x14ac:dyDescent="0.3">
      <c r="A20" s="452" t="s">
        <v>172</v>
      </c>
      <c r="B20" s="410">
        <v>9000</v>
      </c>
      <c r="C20" s="589"/>
      <c r="D20" s="410">
        <v>9600</v>
      </c>
      <c r="E20" s="239"/>
      <c r="F20" s="438">
        <f>E20/D20</f>
        <v>0</v>
      </c>
      <c r="G20" s="266">
        <f>D20-E20</f>
        <v>9600</v>
      </c>
      <c r="H20" s="622" t="s">
        <v>283</v>
      </c>
    </row>
    <row r="21" spans="1:8" ht="28" customHeight="1" thickBot="1" x14ac:dyDescent="0.35">
      <c r="A21" s="453"/>
      <c r="B21" s="411"/>
      <c r="C21" s="590"/>
      <c r="D21" s="411"/>
      <c r="E21" s="241"/>
      <c r="F21" s="437"/>
      <c r="G21" s="465"/>
      <c r="H21" s="624"/>
    </row>
    <row r="22" spans="1:8" ht="28" customHeight="1" thickBot="1" x14ac:dyDescent="0.35">
      <c r="A22" s="423" t="s">
        <v>62</v>
      </c>
      <c r="B22" s="412">
        <f>SUM(B23:B32)</f>
        <v>39315</v>
      </c>
      <c r="C22" s="464"/>
      <c r="D22" s="412">
        <f>SUM(D23:D32)</f>
        <v>86215</v>
      </c>
      <c r="E22" s="558">
        <f>SUM(E23:E32)</f>
        <v>0</v>
      </c>
      <c r="F22" s="492">
        <f>E22/D22</f>
        <v>0</v>
      </c>
      <c r="G22" s="412">
        <f>D22-E22</f>
        <v>86215</v>
      </c>
      <c r="H22" s="625"/>
    </row>
    <row r="23" spans="1:8" ht="28" customHeight="1" x14ac:dyDescent="0.3">
      <c r="A23" s="452" t="s">
        <v>15</v>
      </c>
      <c r="B23" s="409">
        <v>4500</v>
      </c>
      <c r="C23" s="588"/>
      <c r="D23" s="409">
        <v>5400</v>
      </c>
      <c r="E23" s="238"/>
      <c r="F23" s="436">
        <f>E23/D23</f>
        <v>0</v>
      </c>
      <c r="G23" s="266">
        <f>D23-E23</f>
        <v>5400</v>
      </c>
      <c r="H23" s="622" t="s">
        <v>238</v>
      </c>
    </row>
    <row r="24" spans="1:8" ht="28" customHeight="1" x14ac:dyDescent="0.3">
      <c r="A24" s="452" t="s">
        <v>16</v>
      </c>
      <c r="B24" s="410">
        <v>1800</v>
      </c>
      <c r="C24" s="589"/>
      <c r="D24" s="410">
        <v>1800</v>
      </c>
      <c r="E24" s="239"/>
      <c r="F24" s="439">
        <f>E24/D24</f>
        <v>0</v>
      </c>
      <c r="G24" s="266">
        <f>D24-E24</f>
        <v>1800</v>
      </c>
      <c r="H24" s="622" t="s">
        <v>131</v>
      </c>
    </row>
    <row r="25" spans="1:8" ht="28" customHeight="1" x14ac:dyDescent="0.3">
      <c r="A25" s="452" t="s">
        <v>68</v>
      </c>
      <c r="B25" s="410">
        <v>280</v>
      </c>
      <c r="C25" s="589"/>
      <c r="D25" s="410">
        <v>280</v>
      </c>
      <c r="E25" s="239"/>
      <c r="F25" s="439">
        <f t="shared" ref="F25:F34" si="2">E25/D25</f>
        <v>0</v>
      </c>
      <c r="G25" s="266">
        <f t="shared" ref="G25:G34" si="3">D25-E25</f>
        <v>280</v>
      </c>
      <c r="H25" s="622"/>
    </row>
    <row r="26" spans="1:8" ht="28" customHeight="1" x14ac:dyDescent="0.3">
      <c r="A26" s="452" t="s">
        <v>222</v>
      </c>
      <c r="B26" s="410">
        <v>2090</v>
      </c>
      <c r="C26" s="589"/>
      <c r="D26" s="410">
        <v>2090</v>
      </c>
      <c r="E26" s="239"/>
      <c r="F26" s="439">
        <f t="shared" si="2"/>
        <v>0</v>
      </c>
      <c r="G26" s="266">
        <f t="shared" si="3"/>
        <v>2090</v>
      </c>
      <c r="H26" s="622"/>
    </row>
    <row r="27" spans="1:8" ht="28" customHeight="1" x14ac:dyDescent="0.3">
      <c r="A27" s="452" t="s">
        <v>227</v>
      </c>
      <c r="B27" s="410">
        <v>4000</v>
      </c>
      <c r="C27" s="589"/>
      <c r="D27" s="410">
        <v>0</v>
      </c>
      <c r="E27" s="239"/>
      <c r="F27" s="439" t="e">
        <f t="shared" si="2"/>
        <v>#DIV/0!</v>
      </c>
      <c r="G27" s="266">
        <f t="shared" si="3"/>
        <v>0</v>
      </c>
      <c r="H27" s="622" t="s">
        <v>239</v>
      </c>
    </row>
    <row r="28" spans="1:8" ht="28" customHeight="1" x14ac:dyDescent="0.3">
      <c r="A28" s="539" t="s">
        <v>226</v>
      </c>
      <c r="B28" s="559">
        <v>0</v>
      </c>
      <c r="C28" s="591"/>
      <c r="D28" s="559">
        <v>0</v>
      </c>
      <c r="E28" s="239"/>
      <c r="F28" s="439" t="e">
        <f t="shared" si="2"/>
        <v>#DIV/0!</v>
      </c>
      <c r="G28" s="266">
        <f t="shared" si="3"/>
        <v>0</v>
      </c>
      <c r="H28" s="622"/>
    </row>
    <row r="29" spans="1:8" ht="28" customHeight="1" x14ac:dyDescent="0.3">
      <c r="A29" s="452" t="s">
        <v>18</v>
      </c>
      <c r="B29" s="410">
        <v>45</v>
      </c>
      <c r="C29" s="589"/>
      <c r="D29" s="410">
        <v>45</v>
      </c>
      <c r="E29" s="239"/>
      <c r="F29" s="439">
        <f t="shared" si="2"/>
        <v>0</v>
      </c>
      <c r="G29" s="266">
        <f t="shared" si="3"/>
        <v>45</v>
      </c>
      <c r="H29" s="622" t="s">
        <v>240</v>
      </c>
    </row>
    <row r="30" spans="1:8" ht="28" customHeight="1" x14ac:dyDescent="0.3">
      <c r="A30" s="452" t="s">
        <v>19</v>
      </c>
      <c r="B30" s="410">
        <f>200*12</f>
        <v>2400</v>
      </c>
      <c r="C30" s="589"/>
      <c r="D30" s="410">
        <f>200*12</f>
        <v>2400</v>
      </c>
      <c r="E30" s="239"/>
      <c r="F30" s="439">
        <f t="shared" si="2"/>
        <v>0</v>
      </c>
      <c r="G30" s="266">
        <f t="shared" si="3"/>
        <v>2400</v>
      </c>
      <c r="H30" s="622" t="s">
        <v>241</v>
      </c>
    </row>
    <row r="31" spans="1:8" ht="28" customHeight="1" x14ac:dyDescent="0.3">
      <c r="A31" s="452" t="s">
        <v>118</v>
      </c>
      <c r="B31" s="410">
        <v>4200</v>
      </c>
      <c r="C31" s="589"/>
      <c r="D31" s="410">
        <v>4200</v>
      </c>
      <c r="E31" s="239"/>
      <c r="F31" s="439">
        <f t="shared" si="2"/>
        <v>0</v>
      </c>
      <c r="G31" s="266">
        <f t="shared" si="3"/>
        <v>4200</v>
      </c>
      <c r="H31" s="622" t="s">
        <v>242</v>
      </c>
    </row>
    <row r="32" spans="1:8" ht="28" customHeight="1" x14ac:dyDescent="0.3">
      <c r="A32" s="453" t="s">
        <v>152</v>
      </c>
      <c r="B32" s="411">
        <v>20000</v>
      </c>
      <c r="C32" s="590"/>
      <c r="D32" s="411">
        <v>70000</v>
      </c>
      <c r="E32" s="241"/>
      <c r="F32" s="439">
        <f t="shared" si="2"/>
        <v>0</v>
      </c>
      <c r="G32" s="266">
        <f t="shared" si="3"/>
        <v>70000</v>
      </c>
      <c r="H32" s="624" t="s">
        <v>228</v>
      </c>
    </row>
    <row r="33" spans="1:16" ht="28" customHeight="1" x14ac:dyDescent="0.3">
      <c r="A33" s="453" t="s">
        <v>206</v>
      </c>
      <c r="B33" s="411">
        <f>500+468</f>
        <v>968</v>
      </c>
      <c r="C33" s="590"/>
      <c r="D33" s="411">
        <f>119.88+108+468+1200+10000+720+1980+2086.21</f>
        <v>16682.09</v>
      </c>
      <c r="E33" s="241"/>
      <c r="F33" s="439">
        <f t="shared" si="2"/>
        <v>0</v>
      </c>
      <c r="G33" s="266">
        <f t="shared" si="3"/>
        <v>16682.09</v>
      </c>
      <c r="H33" s="624" t="s">
        <v>296</v>
      </c>
    </row>
    <row r="34" spans="1:16" s="512" customFormat="1" ht="28" customHeight="1" thickBot="1" x14ac:dyDescent="0.35">
      <c r="A34" s="525" t="s">
        <v>190</v>
      </c>
      <c r="B34" s="529">
        <f>140000-1296-500</f>
        <v>138204</v>
      </c>
      <c r="C34" s="592"/>
      <c r="D34" s="529">
        <v>140000</v>
      </c>
      <c r="E34" s="528"/>
      <c r="F34" s="526">
        <f t="shared" si="2"/>
        <v>0</v>
      </c>
      <c r="G34" s="527">
        <f t="shared" si="3"/>
        <v>140000</v>
      </c>
      <c r="H34" s="626"/>
      <c r="O34" s="530"/>
      <c r="P34" s="530"/>
    </row>
    <row r="35" spans="1:16" ht="28" customHeight="1" thickBot="1" x14ac:dyDescent="0.35">
      <c r="A35" s="423" t="s">
        <v>70</v>
      </c>
      <c r="B35" s="412">
        <f>SUM(B2:B34)-B17-B22</f>
        <v>1431688.0573292</v>
      </c>
      <c r="C35" s="481"/>
      <c r="D35" s="412">
        <f>SUM(D2:D34)-D17-D22</f>
        <v>1518597.6589280001</v>
      </c>
      <c r="E35" s="242">
        <f ca="1">SUM(E2:E75)-E17-E22</f>
        <v>0</v>
      </c>
      <c r="F35" s="486">
        <f ca="1">E35/D35</f>
        <v>0</v>
      </c>
      <c r="G35" s="268">
        <f ca="1">D35-E35</f>
        <v>0</v>
      </c>
      <c r="H35" s="627"/>
    </row>
    <row r="36" spans="1:16" ht="28" customHeight="1" x14ac:dyDescent="0.3">
      <c r="A36" s="483"/>
      <c r="B36" s="416"/>
      <c r="C36" s="484"/>
      <c r="D36" s="416"/>
      <c r="E36" s="628"/>
      <c r="F36" s="482"/>
      <c r="G36" s="485"/>
      <c r="H36" s="629"/>
    </row>
    <row r="37" spans="1:16" ht="28" customHeight="1" thickBot="1" x14ac:dyDescent="0.35">
      <c r="A37" s="121"/>
      <c r="B37" s="540"/>
      <c r="C37" s="484"/>
      <c r="D37" s="540"/>
      <c r="E37" s="122"/>
      <c r="F37" s="467"/>
      <c r="G37" s="271"/>
      <c r="H37" s="271"/>
    </row>
    <row r="38" spans="1:16" ht="28" customHeight="1" thickBot="1" x14ac:dyDescent="0.35">
      <c r="A38" s="426" t="s">
        <v>71</v>
      </c>
      <c r="B38" s="425"/>
      <c r="C38" s="425"/>
      <c r="D38" s="425"/>
      <c r="E38" s="542"/>
      <c r="F38" s="441"/>
      <c r="G38" s="425"/>
      <c r="H38" s="630"/>
    </row>
    <row r="39" spans="1:16" ht="28" customHeight="1" thickBot="1" x14ac:dyDescent="0.35">
      <c r="A39" s="427" t="s">
        <v>26</v>
      </c>
      <c r="B39" s="424">
        <f>SUM(B41:B50)</f>
        <v>403640</v>
      </c>
      <c r="C39" s="424"/>
      <c r="D39" s="424">
        <f>SUM(D41:D50)</f>
        <v>403640</v>
      </c>
      <c r="E39" s="543">
        <f>SUM(E41:E50)</f>
        <v>0</v>
      </c>
      <c r="F39" s="494">
        <f>E39/D39</f>
        <v>0</v>
      </c>
      <c r="G39" s="424"/>
      <c r="H39" s="153"/>
    </row>
    <row r="40" spans="1:16" ht="28" customHeight="1" x14ac:dyDescent="0.3">
      <c r="A40" s="454" t="s">
        <v>53</v>
      </c>
      <c r="B40" s="601">
        <v>0</v>
      </c>
      <c r="C40" s="601"/>
      <c r="D40" s="601">
        <v>0</v>
      </c>
      <c r="E40" s="675"/>
      <c r="F40" s="676"/>
      <c r="G40" s="677"/>
      <c r="H40" s="631"/>
    </row>
    <row r="41" spans="1:16" ht="28" customHeight="1" x14ac:dyDescent="0.3">
      <c r="A41" s="455" t="s">
        <v>27</v>
      </c>
      <c r="B41" s="549">
        <v>40364</v>
      </c>
      <c r="C41" s="549"/>
      <c r="D41" s="549">
        <v>40364</v>
      </c>
      <c r="E41" s="544"/>
      <c r="F41" s="495">
        <f t="shared" ref="F41:F50" si="4">E41/D41</f>
        <v>0</v>
      </c>
      <c r="G41" s="468">
        <f t="shared" ref="G41:G50" si="5">D41-E41</f>
        <v>40364</v>
      </c>
      <c r="H41" s="603"/>
    </row>
    <row r="42" spans="1:16" ht="28" customHeight="1" x14ac:dyDescent="0.3">
      <c r="A42" s="455" t="s">
        <v>28</v>
      </c>
      <c r="B42" s="549">
        <v>40364</v>
      </c>
      <c r="C42" s="549"/>
      <c r="D42" s="549">
        <v>40364</v>
      </c>
      <c r="E42" s="544"/>
      <c r="F42" s="495">
        <f t="shared" si="4"/>
        <v>0</v>
      </c>
      <c r="G42" s="468">
        <f t="shared" si="5"/>
        <v>40364</v>
      </c>
      <c r="H42" s="603"/>
    </row>
    <row r="43" spans="1:16" ht="28" customHeight="1" x14ac:dyDescent="0.3">
      <c r="A43" s="455" t="s">
        <v>29</v>
      </c>
      <c r="B43" s="549">
        <v>40364</v>
      </c>
      <c r="C43" s="549"/>
      <c r="D43" s="549">
        <v>40364</v>
      </c>
      <c r="E43" s="544"/>
      <c r="F43" s="495">
        <f t="shared" si="4"/>
        <v>0</v>
      </c>
      <c r="G43" s="468">
        <f t="shared" si="5"/>
        <v>40364</v>
      </c>
      <c r="H43" s="603"/>
    </row>
    <row r="44" spans="1:16" ht="28" customHeight="1" x14ac:dyDescent="0.3">
      <c r="A44" s="455" t="s">
        <v>30</v>
      </c>
      <c r="B44" s="549">
        <v>40364</v>
      </c>
      <c r="C44" s="549"/>
      <c r="D44" s="549">
        <v>40364</v>
      </c>
      <c r="E44" s="544"/>
      <c r="F44" s="495">
        <f t="shared" si="4"/>
        <v>0</v>
      </c>
      <c r="G44" s="468">
        <f t="shared" si="5"/>
        <v>40364</v>
      </c>
      <c r="H44" s="603"/>
    </row>
    <row r="45" spans="1:16" ht="28" customHeight="1" x14ac:dyDescent="0.3">
      <c r="A45" s="455" t="s">
        <v>31</v>
      </c>
      <c r="B45" s="549">
        <v>40364</v>
      </c>
      <c r="C45" s="549"/>
      <c r="D45" s="549">
        <v>40364</v>
      </c>
      <c r="E45" s="544"/>
      <c r="F45" s="495">
        <f t="shared" si="4"/>
        <v>0</v>
      </c>
      <c r="G45" s="468">
        <f t="shared" si="5"/>
        <v>40364</v>
      </c>
      <c r="H45" s="603"/>
    </row>
    <row r="46" spans="1:16" ht="28" customHeight="1" x14ac:dyDescent="0.3">
      <c r="A46" s="455" t="s">
        <v>32</v>
      </c>
      <c r="B46" s="549">
        <v>40364</v>
      </c>
      <c r="C46" s="549"/>
      <c r="D46" s="549">
        <v>40364</v>
      </c>
      <c r="E46" s="544"/>
      <c r="F46" s="495">
        <f t="shared" si="4"/>
        <v>0</v>
      </c>
      <c r="G46" s="468">
        <f t="shared" si="5"/>
        <v>40364</v>
      </c>
      <c r="H46" s="603"/>
    </row>
    <row r="47" spans="1:16" ht="28" customHeight="1" x14ac:dyDescent="0.3">
      <c r="A47" s="455" t="s">
        <v>33</v>
      </c>
      <c r="B47" s="549">
        <v>40364</v>
      </c>
      <c r="C47" s="549"/>
      <c r="D47" s="549">
        <v>40364</v>
      </c>
      <c r="E47" s="544"/>
      <c r="F47" s="495">
        <f t="shared" si="4"/>
        <v>0</v>
      </c>
      <c r="G47" s="468">
        <f t="shared" si="5"/>
        <v>40364</v>
      </c>
      <c r="H47" s="603"/>
    </row>
    <row r="48" spans="1:16" ht="28" customHeight="1" x14ac:dyDescent="0.3">
      <c r="A48" s="455" t="s">
        <v>76</v>
      </c>
      <c r="B48" s="549">
        <v>40364</v>
      </c>
      <c r="C48" s="549"/>
      <c r="D48" s="549">
        <v>40364</v>
      </c>
      <c r="E48" s="544"/>
      <c r="F48" s="495">
        <f t="shared" si="4"/>
        <v>0</v>
      </c>
      <c r="G48" s="468">
        <f t="shared" si="5"/>
        <v>40364</v>
      </c>
      <c r="H48" s="603"/>
    </row>
    <row r="49" spans="1:8" ht="28" customHeight="1" x14ac:dyDescent="0.3">
      <c r="A49" s="455" t="s">
        <v>34</v>
      </c>
      <c r="B49" s="549">
        <v>40364</v>
      </c>
      <c r="C49" s="549"/>
      <c r="D49" s="549">
        <v>40364</v>
      </c>
      <c r="E49" s="544"/>
      <c r="F49" s="495">
        <f t="shared" si="4"/>
        <v>0</v>
      </c>
      <c r="G49" s="468">
        <f t="shared" si="5"/>
        <v>40364</v>
      </c>
      <c r="H49" s="603"/>
    </row>
    <row r="50" spans="1:8" ht="28" customHeight="1" x14ac:dyDescent="0.3">
      <c r="A50" s="455" t="s">
        <v>35</v>
      </c>
      <c r="B50" s="549">
        <v>40364</v>
      </c>
      <c r="C50" s="549"/>
      <c r="D50" s="549">
        <v>40364</v>
      </c>
      <c r="E50" s="544"/>
      <c r="F50" s="495">
        <f t="shared" si="4"/>
        <v>0</v>
      </c>
      <c r="G50" s="468">
        <f t="shared" si="5"/>
        <v>40364</v>
      </c>
      <c r="H50" s="603"/>
    </row>
    <row r="51" spans="1:8" ht="28" customHeight="1" x14ac:dyDescent="0.3">
      <c r="A51" s="455"/>
      <c r="B51" s="549"/>
      <c r="C51" s="549"/>
      <c r="D51" s="549"/>
      <c r="E51" s="544"/>
      <c r="F51" s="495"/>
      <c r="G51" s="468"/>
      <c r="H51" s="603"/>
    </row>
    <row r="52" spans="1:8" ht="28" customHeight="1" x14ac:dyDescent="0.3">
      <c r="A52" s="576" t="s">
        <v>224</v>
      </c>
      <c r="B52" s="549">
        <f>600*12</f>
        <v>7200</v>
      </c>
      <c r="C52" s="549"/>
      <c r="D52" s="549">
        <f>600*12</f>
        <v>7200</v>
      </c>
      <c r="E52" s="544"/>
      <c r="F52" s="495"/>
      <c r="G52" s="468"/>
      <c r="H52" s="603" t="s">
        <v>243</v>
      </c>
    </row>
    <row r="53" spans="1:8" ht="28" customHeight="1" x14ac:dyDescent="0.3">
      <c r="A53" s="576" t="s">
        <v>223</v>
      </c>
      <c r="B53" s="549">
        <v>16</v>
      </c>
      <c r="C53" s="549"/>
      <c r="D53" s="549">
        <v>16</v>
      </c>
      <c r="E53" s="544"/>
      <c r="F53" s="495"/>
      <c r="G53" s="468"/>
      <c r="H53" s="603" t="s">
        <v>244</v>
      </c>
    </row>
    <row r="54" spans="1:8" ht="28" customHeight="1" x14ac:dyDescent="0.3">
      <c r="A54" s="576"/>
      <c r="B54" s="549"/>
      <c r="C54" s="549"/>
      <c r="D54" s="549"/>
      <c r="E54" s="544"/>
      <c r="F54" s="495"/>
      <c r="G54" s="468"/>
      <c r="H54" s="603"/>
    </row>
    <row r="55" spans="1:8" ht="28" customHeight="1" x14ac:dyDescent="0.3">
      <c r="A55" s="520" t="s">
        <v>247</v>
      </c>
      <c r="B55" s="550">
        <v>50000</v>
      </c>
      <c r="C55" s="605"/>
      <c r="D55" s="550">
        <v>0</v>
      </c>
      <c r="E55" s="673"/>
      <c r="F55" s="521"/>
      <c r="G55" s="678">
        <f>D55-E55</f>
        <v>0</v>
      </c>
      <c r="H55" s="603"/>
    </row>
    <row r="56" spans="1:8" ht="28" customHeight="1" x14ac:dyDescent="0.3">
      <c r="A56" s="684" t="s">
        <v>250</v>
      </c>
      <c r="B56" s="685">
        <v>150000</v>
      </c>
      <c r="C56" s="686"/>
      <c r="D56" s="685">
        <v>0</v>
      </c>
      <c r="E56" s="673">
        <v>150000</v>
      </c>
      <c r="F56" s="671"/>
      <c r="G56" s="679">
        <f t="shared" ref="G56:G61" si="6">F56/E56</f>
        <v>0</v>
      </c>
      <c r="H56" s="600" t="s">
        <v>290</v>
      </c>
    </row>
    <row r="57" spans="1:8" ht="28" customHeight="1" x14ac:dyDescent="0.3">
      <c r="A57" s="520" t="s">
        <v>245</v>
      </c>
      <c r="B57" s="665">
        <v>0</v>
      </c>
      <c r="C57" s="580"/>
      <c r="D57" s="665">
        <v>0</v>
      </c>
      <c r="E57" s="673"/>
      <c r="F57" s="671"/>
      <c r="G57" s="679" t="e">
        <f t="shared" si="6"/>
        <v>#DIV/0!</v>
      </c>
      <c r="H57" s="603" t="s">
        <v>252</v>
      </c>
    </row>
    <row r="58" spans="1:8" ht="28" hidden="1" customHeight="1" x14ac:dyDescent="0.3">
      <c r="A58" s="456" t="s">
        <v>54</v>
      </c>
      <c r="B58" s="414"/>
      <c r="C58" s="568"/>
      <c r="D58" s="414"/>
      <c r="E58" s="250"/>
      <c r="F58" s="48"/>
      <c r="G58" s="680" t="e">
        <f t="shared" si="6"/>
        <v>#DIV/0!</v>
      </c>
      <c r="H58" s="603"/>
    </row>
    <row r="59" spans="1:8" ht="28" hidden="1" customHeight="1" x14ac:dyDescent="0.3">
      <c r="A59" s="456" t="s">
        <v>55</v>
      </c>
      <c r="B59" s="414"/>
      <c r="C59" s="568"/>
      <c r="D59" s="414"/>
      <c r="E59" s="250"/>
      <c r="F59" s="48"/>
      <c r="G59" s="680" t="e">
        <f t="shared" si="6"/>
        <v>#DIV/0!</v>
      </c>
      <c r="H59" s="603"/>
    </row>
    <row r="60" spans="1:8" ht="28" hidden="1" customHeight="1" x14ac:dyDescent="0.3">
      <c r="A60" s="456" t="s">
        <v>56</v>
      </c>
      <c r="B60" s="414"/>
      <c r="C60" s="568"/>
      <c r="D60" s="414"/>
      <c r="E60" s="250"/>
      <c r="F60" s="48"/>
      <c r="G60" s="680" t="e">
        <f t="shared" si="6"/>
        <v>#DIV/0!</v>
      </c>
      <c r="H60" s="603"/>
    </row>
    <row r="61" spans="1:8" ht="28" hidden="1" customHeight="1" x14ac:dyDescent="0.3">
      <c r="A61" s="456" t="s">
        <v>57</v>
      </c>
      <c r="B61" s="414"/>
      <c r="C61" s="568"/>
      <c r="D61" s="414"/>
      <c r="E61" s="250"/>
      <c r="F61" s="48"/>
      <c r="G61" s="680" t="e">
        <f t="shared" si="6"/>
        <v>#DIV/0!</v>
      </c>
      <c r="H61" s="603"/>
    </row>
    <row r="62" spans="1:8" ht="28" hidden="1" customHeight="1" x14ac:dyDescent="0.3">
      <c r="A62" s="457" t="s">
        <v>153</v>
      </c>
      <c r="B62" s="415">
        <v>0</v>
      </c>
      <c r="C62" s="569"/>
      <c r="D62" s="415">
        <v>0</v>
      </c>
      <c r="E62" s="250">
        <v>0</v>
      </c>
      <c r="F62" s="48"/>
      <c r="G62" s="680"/>
      <c r="H62" s="598" t="s">
        <v>177</v>
      </c>
    </row>
    <row r="63" spans="1:8" ht="28" hidden="1" customHeight="1" x14ac:dyDescent="0.3">
      <c r="A63" s="457" t="s">
        <v>154</v>
      </c>
      <c r="B63" s="415">
        <v>0</v>
      </c>
      <c r="C63" s="569"/>
      <c r="D63" s="415">
        <v>0</v>
      </c>
      <c r="E63" s="250">
        <v>0</v>
      </c>
      <c r="F63" s="48"/>
      <c r="G63" s="680"/>
      <c r="H63" s="598" t="s">
        <v>155</v>
      </c>
    </row>
    <row r="64" spans="1:8" ht="28" customHeight="1" x14ac:dyDescent="0.3">
      <c r="A64" s="523" t="s">
        <v>246</v>
      </c>
      <c r="B64" s="666">
        <v>72000</v>
      </c>
      <c r="C64" s="414"/>
      <c r="D64" s="666">
        <v>72000</v>
      </c>
      <c r="E64" s="674">
        <v>72000</v>
      </c>
      <c r="F64" s="672"/>
      <c r="G64" s="679">
        <f>F64/E64</f>
        <v>0</v>
      </c>
      <c r="H64" s="598" t="s">
        <v>251</v>
      </c>
    </row>
    <row r="65" spans="1:16" ht="28" customHeight="1" x14ac:dyDescent="0.3">
      <c r="A65" s="688" t="s">
        <v>270</v>
      </c>
      <c r="B65" s="689">
        <v>50000</v>
      </c>
      <c r="C65" s="685"/>
      <c r="D65" s="689">
        <v>50000</v>
      </c>
      <c r="E65" s="674"/>
      <c r="F65" s="672"/>
      <c r="G65" s="679"/>
      <c r="H65" s="598" t="s">
        <v>248</v>
      </c>
    </row>
    <row r="66" spans="1:16" ht="28" customHeight="1" x14ac:dyDescent="0.3">
      <c r="A66" s="457" t="s">
        <v>159</v>
      </c>
      <c r="B66" s="415">
        <v>0</v>
      </c>
      <c r="C66" s="414"/>
      <c r="D66" s="415">
        <v>0</v>
      </c>
      <c r="E66" s="674"/>
      <c r="F66" s="672"/>
      <c r="G66" s="679"/>
      <c r="H66" s="598" t="s">
        <v>261</v>
      </c>
    </row>
    <row r="67" spans="1:16" ht="28" customHeight="1" x14ac:dyDescent="0.3">
      <c r="A67" s="457" t="s">
        <v>36</v>
      </c>
      <c r="B67" s="551">
        <v>0</v>
      </c>
      <c r="C67" s="414"/>
      <c r="D67" s="551">
        <v>0</v>
      </c>
      <c r="E67" s="545"/>
      <c r="F67" s="521"/>
      <c r="G67" s="522"/>
      <c r="H67" s="598" t="s">
        <v>253</v>
      </c>
    </row>
    <row r="68" spans="1:16" ht="28" customHeight="1" x14ac:dyDescent="0.3">
      <c r="A68" s="457" t="s">
        <v>203</v>
      </c>
      <c r="B68" s="415">
        <v>0</v>
      </c>
      <c r="C68" s="414"/>
      <c r="D68" s="415">
        <v>0</v>
      </c>
      <c r="E68" s="249"/>
      <c r="F68" s="495"/>
      <c r="G68" s="468"/>
      <c r="H68" s="598" t="s">
        <v>254</v>
      </c>
    </row>
    <row r="69" spans="1:16" ht="28" customHeight="1" x14ac:dyDescent="0.3">
      <c r="A69" s="488" t="s">
        <v>285</v>
      </c>
      <c r="B69" s="552">
        <v>170000</v>
      </c>
      <c r="C69" s="552"/>
      <c r="D69" s="552">
        <v>170000</v>
      </c>
      <c r="E69" s="546"/>
      <c r="F69" s="495">
        <f>E69/D69</f>
        <v>0</v>
      </c>
      <c r="G69" s="468">
        <f>D69-E69</f>
        <v>170000</v>
      </c>
      <c r="H69" s="603" t="s">
        <v>249</v>
      </c>
    </row>
    <row r="70" spans="1:16" ht="28" customHeight="1" x14ac:dyDescent="0.3">
      <c r="A70" s="488" t="s">
        <v>38</v>
      </c>
      <c r="B70" s="552">
        <v>255290</v>
      </c>
      <c r="C70" s="552"/>
      <c r="D70" s="552">
        <v>255290</v>
      </c>
      <c r="E70" s="546"/>
      <c r="F70" s="495">
        <f>E70/D70</f>
        <v>0</v>
      </c>
      <c r="G70" s="468">
        <f>D70-E70</f>
        <v>255290</v>
      </c>
      <c r="H70" s="603" t="s">
        <v>255</v>
      </c>
    </row>
    <row r="71" spans="1:16" ht="28" customHeight="1" x14ac:dyDescent="0.3">
      <c r="A71" s="488" t="s">
        <v>221</v>
      </c>
      <c r="B71" s="552">
        <v>0</v>
      </c>
      <c r="C71" s="552"/>
      <c r="D71" s="552">
        <v>0</v>
      </c>
      <c r="E71" s="546"/>
      <c r="F71" s="495"/>
      <c r="G71" s="468"/>
      <c r="H71" s="603"/>
    </row>
    <row r="72" spans="1:16" ht="28" customHeight="1" x14ac:dyDescent="0.3">
      <c r="A72" s="488" t="s">
        <v>291</v>
      </c>
      <c r="B72" s="552">
        <v>272500</v>
      </c>
      <c r="C72" s="552"/>
      <c r="D72" s="552">
        <v>272500</v>
      </c>
      <c r="E72" s="546"/>
      <c r="F72" s="495">
        <f>E72/D72</f>
        <v>0</v>
      </c>
      <c r="G72" s="468">
        <f>D72-E72</f>
        <v>272500</v>
      </c>
      <c r="H72" s="632"/>
    </row>
    <row r="73" spans="1:16" ht="28" hidden="1" customHeight="1" x14ac:dyDescent="0.3">
      <c r="A73" s="488" t="s">
        <v>78</v>
      </c>
      <c r="B73" s="553">
        <v>0</v>
      </c>
      <c r="C73" s="553"/>
      <c r="D73" s="553">
        <v>0</v>
      </c>
      <c r="E73" s="547"/>
      <c r="F73" s="495"/>
      <c r="G73" s="468">
        <f>D73-E73</f>
        <v>0</v>
      </c>
      <c r="H73" s="603" t="s">
        <v>156</v>
      </c>
    </row>
    <row r="74" spans="1:16" ht="28" customHeight="1" x14ac:dyDescent="0.3">
      <c r="A74" s="493" t="s">
        <v>74</v>
      </c>
      <c r="B74" s="667">
        <v>435983</v>
      </c>
      <c r="C74" s="553"/>
      <c r="D74" s="667">
        <v>486838</v>
      </c>
      <c r="E74" s="548"/>
      <c r="F74" s="496">
        <f>E74/D74</f>
        <v>0</v>
      </c>
      <c r="G74" s="469">
        <f>D74-E74</f>
        <v>486838</v>
      </c>
      <c r="H74" s="598" t="s">
        <v>292</v>
      </c>
    </row>
    <row r="75" spans="1:16" ht="28" customHeight="1" thickBot="1" x14ac:dyDescent="0.35">
      <c r="A75" s="524" t="s">
        <v>190</v>
      </c>
      <c r="B75" s="668">
        <f>441768.27-140000</f>
        <v>301768.27</v>
      </c>
      <c r="C75" s="604"/>
      <c r="D75" s="668">
        <f>(D35*30%)-140000</f>
        <v>315579.29767840001</v>
      </c>
      <c r="E75" s="681"/>
      <c r="F75" s="682">
        <f>E75/D75</f>
        <v>0</v>
      </c>
      <c r="G75" s="683">
        <f>D75-E75</f>
        <v>315579.29767840001</v>
      </c>
      <c r="H75" s="599" t="s">
        <v>284</v>
      </c>
    </row>
    <row r="76" spans="1:16" s="203" customFormat="1" ht="28" customHeight="1" thickBot="1" x14ac:dyDescent="0.35">
      <c r="A76" s="458" t="s">
        <v>39</v>
      </c>
      <c r="B76" s="413">
        <f>SUM(B41:B75)</f>
        <v>2168397.27</v>
      </c>
      <c r="C76" s="602"/>
      <c r="D76" s="413">
        <f>SUM(D41:D75)</f>
        <v>2033063.2976784001</v>
      </c>
      <c r="E76" s="470">
        <f>SUM(E41:E74)</f>
        <v>222000</v>
      </c>
      <c r="F76" s="442">
        <f>E76/D76</f>
        <v>0.10919482942489135</v>
      </c>
      <c r="G76" s="413">
        <f>D76-E76</f>
        <v>1811063.2976784001</v>
      </c>
      <c r="H76" s="153"/>
      <c r="O76" s="399"/>
      <c r="P76" s="399"/>
    </row>
    <row r="77" spans="1:16" ht="28" customHeight="1" x14ac:dyDescent="0.3">
      <c r="A77" s="27"/>
      <c r="B77" s="687"/>
      <c r="C77" s="466"/>
      <c r="D77" s="416"/>
      <c r="E77" s="28"/>
      <c r="F77" s="440"/>
      <c r="G77" s="277"/>
      <c r="H77" s="277"/>
    </row>
    <row r="78" spans="1:16" ht="28" customHeight="1" thickBot="1" x14ac:dyDescent="0.35">
      <c r="A78" s="135"/>
      <c r="B78" s="541"/>
      <c r="C78" s="471"/>
      <c r="D78" s="541"/>
      <c r="E78" s="633"/>
      <c r="F78" s="472"/>
      <c r="G78" s="473"/>
      <c r="H78" s="634"/>
    </row>
    <row r="79" spans="1:16" ht="28" customHeight="1" thickBot="1" x14ac:dyDescent="0.35">
      <c r="A79" s="429" t="s">
        <v>45</v>
      </c>
      <c r="B79" s="431"/>
      <c r="C79" s="430"/>
      <c r="D79" s="431"/>
      <c r="E79" s="431"/>
      <c r="F79" s="443"/>
      <c r="G79" s="431"/>
      <c r="H79" s="616"/>
    </row>
    <row r="80" spans="1:16" ht="28" customHeight="1" x14ac:dyDescent="0.3">
      <c r="A80" s="657" t="s">
        <v>46</v>
      </c>
      <c r="B80" s="561">
        <v>0</v>
      </c>
      <c r="C80" s="561"/>
      <c r="D80" s="609">
        <v>0</v>
      </c>
      <c r="E80" s="505"/>
      <c r="F80" s="497" t="e">
        <f>E80/D80</f>
        <v>#DIV/0!</v>
      </c>
      <c r="G80" s="489">
        <f>D80-E80</f>
        <v>0</v>
      </c>
      <c r="H80" s="635"/>
    </row>
    <row r="81" spans="1:8" ht="28" customHeight="1" x14ac:dyDescent="0.3">
      <c r="A81" s="658" t="s">
        <v>79</v>
      </c>
      <c r="B81" s="417">
        <v>42000</v>
      </c>
      <c r="C81" s="417"/>
      <c r="D81" s="610"/>
      <c r="E81" s="506"/>
      <c r="F81" s="497" t="e">
        <f t="shared" ref="F81:F90" si="7">E81/D81</f>
        <v>#DIV/0!</v>
      </c>
      <c r="G81" s="489">
        <f t="shared" ref="G81:G90" si="8">D81-E81</f>
        <v>0</v>
      </c>
      <c r="H81" s="636" t="s">
        <v>258</v>
      </c>
    </row>
    <row r="82" spans="1:8" ht="28" customHeight="1" x14ac:dyDescent="0.3">
      <c r="A82" s="659" t="s">
        <v>47</v>
      </c>
      <c r="B82" s="562">
        <v>634800</v>
      </c>
      <c r="C82" s="562"/>
      <c r="D82" s="611"/>
      <c r="E82" s="507"/>
      <c r="F82" s="497" t="e">
        <f t="shared" si="7"/>
        <v>#DIV/0!</v>
      </c>
      <c r="G82" s="489">
        <f t="shared" si="8"/>
        <v>0</v>
      </c>
      <c r="H82" s="637"/>
    </row>
    <row r="83" spans="1:8" ht="28" hidden="1" customHeight="1" x14ac:dyDescent="0.3">
      <c r="A83" s="660" t="s">
        <v>48</v>
      </c>
      <c r="B83" s="563"/>
      <c r="C83" s="563"/>
      <c r="D83" s="612"/>
      <c r="E83" s="508"/>
      <c r="F83" s="497" t="e">
        <f t="shared" si="7"/>
        <v>#DIV/0!</v>
      </c>
      <c r="G83" s="489">
        <f t="shared" si="8"/>
        <v>0</v>
      </c>
      <c r="H83" s="638"/>
    </row>
    <row r="84" spans="1:8" ht="28" hidden="1" customHeight="1" x14ac:dyDescent="0.3">
      <c r="A84" s="661" t="s">
        <v>49</v>
      </c>
      <c r="B84" s="564"/>
      <c r="C84" s="564"/>
      <c r="D84" s="613"/>
      <c r="E84" s="508"/>
      <c r="F84" s="497" t="e">
        <f t="shared" si="7"/>
        <v>#DIV/0!</v>
      </c>
      <c r="G84" s="489">
        <f t="shared" si="8"/>
        <v>0</v>
      </c>
      <c r="H84" s="639"/>
    </row>
    <row r="85" spans="1:8" ht="28" hidden="1" customHeight="1" x14ac:dyDescent="0.3">
      <c r="A85" s="662" t="s">
        <v>50</v>
      </c>
      <c r="B85" s="565"/>
      <c r="C85" s="565"/>
      <c r="D85" s="614"/>
      <c r="E85" s="509"/>
      <c r="F85" s="497" t="e">
        <f t="shared" si="7"/>
        <v>#DIV/0!</v>
      </c>
      <c r="G85" s="489">
        <f t="shared" si="8"/>
        <v>0</v>
      </c>
      <c r="H85" s="639"/>
    </row>
    <row r="86" spans="1:8" ht="28" customHeight="1" x14ac:dyDescent="0.3">
      <c r="A86" s="658" t="s">
        <v>61</v>
      </c>
      <c r="B86" s="417">
        <v>36531.730000000003</v>
      </c>
      <c r="C86" s="417"/>
      <c r="D86" s="610"/>
      <c r="E86" s="506"/>
      <c r="F86" s="497" t="e">
        <f t="shared" si="7"/>
        <v>#DIV/0!</v>
      </c>
      <c r="G86" s="489">
        <f t="shared" si="8"/>
        <v>0</v>
      </c>
      <c r="H86" s="639"/>
    </row>
    <row r="87" spans="1:8" ht="28" customHeight="1" x14ac:dyDescent="0.3">
      <c r="A87" s="581" t="s">
        <v>158</v>
      </c>
      <c r="B87" s="566">
        <v>1123932.44</v>
      </c>
      <c r="C87" s="566"/>
      <c r="D87" s="606"/>
      <c r="E87" s="506"/>
      <c r="F87" s="497" t="e">
        <f t="shared" si="7"/>
        <v>#DIV/0!</v>
      </c>
      <c r="G87" s="489">
        <f t="shared" si="8"/>
        <v>0</v>
      </c>
      <c r="H87" s="640"/>
    </row>
    <row r="88" spans="1:8" ht="28" customHeight="1" x14ac:dyDescent="0.3">
      <c r="A88" s="581" t="s">
        <v>256</v>
      </c>
      <c r="B88" s="566">
        <v>10000</v>
      </c>
      <c r="C88" s="417"/>
      <c r="D88" s="606"/>
      <c r="E88" s="582"/>
      <c r="F88" s="497"/>
      <c r="G88" s="489"/>
      <c r="H88" s="640"/>
    </row>
    <row r="89" spans="1:8" ht="28" customHeight="1" x14ac:dyDescent="0.3">
      <c r="A89" s="579" t="s">
        <v>245</v>
      </c>
      <c r="B89" s="669">
        <v>30000</v>
      </c>
      <c r="C89" s="417"/>
      <c r="D89" s="607"/>
      <c r="E89" s="531"/>
      <c r="F89" s="532" t="e">
        <f t="shared" si="7"/>
        <v>#DIV/0!</v>
      </c>
      <c r="G89" s="533">
        <f t="shared" si="8"/>
        <v>0</v>
      </c>
      <c r="H89" s="640"/>
    </row>
    <row r="90" spans="1:8" ht="28" customHeight="1" thickBot="1" x14ac:dyDescent="0.35">
      <c r="A90" s="663" t="s">
        <v>257</v>
      </c>
      <c r="B90" s="670">
        <v>1850113.76</v>
      </c>
      <c r="C90" s="567"/>
      <c r="D90" s="608"/>
      <c r="E90" s="518"/>
      <c r="F90" s="497" t="e">
        <f t="shared" si="7"/>
        <v>#DIV/0!</v>
      </c>
      <c r="G90" s="489">
        <f t="shared" si="8"/>
        <v>0</v>
      </c>
      <c r="H90" s="640"/>
    </row>
    <row r="91" spans="1:8" ht="28" customHeight="1" thickBot="1" x14ac:dyDescent="0.35">
      <c r="A91" s="519" t="s">
        <v>52</v>
      </c>
      <c r="B91" s="428">
        <v>3727377.93</v>
      </c>
      <c r="C91" s="428"/>
      <c r="D91" s="428">
        <f>C116</f>
        <v>4037234.4086787202</v>
      </c>
      <c r="E91" s="560">
        <f>SUM(E80:E90)</f>
        <v>0</v>
      </c>
      <c r="F91" s="498">
        <f>E91/D91</f>
        <v>0</v>
      </c>
      <c r="G91" s="428">
        <f>D91-E91</f>
        <v>4037234.4086787202</v>
      </c>
      <c r="H91" s="616"/>
    </row>
    <row r="92" spans="1:8" ht="28" customHeight="1" x14ac:dyDescent="0.3">
      <c r="A92" s="142"/>
      <c r="B92" s="554"/>
      <c r="C92" s="474"/>
      <c r="D92" s="554"/>
      <c r="E92" s="641"/>
      <c r="F92" s="475"/>
      <c r="G92" s="476"/>
      <c r="H92" s="271"/>
    </row>
    <row r="93" spans="1:8" ht="28" customHeight="1" thickBot="1" x14ac:dyDescent="0.35">
      <c r="A93" s="142"/>
      <c r="B93" s="555"/>
      <c r="C93" s="474"/>
      <c r="D93" s="555"/>
      <c r="E93" s="641"/>
      <c r="F93" s="475"/>
      <c r="G93" s="476"/>
      <c r="H93" s="271"/>
    </row>
    <row r="94" spans="1:8" ht="28" customHeight="1" thickBot="1" x14ac:dyDescent="0.35">
      <c r="A94" s="459" t="s">
        <v>72</v>
      </c>
      <c r="B94" s="575"/>
      <c r="C94" s="477"/>
      <c r="D94" s="575"/>
      <c r="E94" s="574"/>
      <c r="F94" s="444"/>
      <c r="G94" s="478"/>
      <c r="H94" s="642"/>
    </row>
    <row r="95" spans="1:8" ht="28" hidden="1" customHeight="1" x14ac:dyDescent="0.3">
      <c r="A95" s="460" t="s">
        <v>40</v>
      </c>
      <c r="B95" s="503"/>
      <c r="C95" s="500"/>
      <c r="D95" s="500"/>
      <c r="E95" s="86"/>
      <c r="F95" s="445"/>
      <c r="G95" s="288"/>
      <c r="H95" s="643"/>
    </row>
    <row r="96" spans="1:8" ht="28" customHeight="1" x14ac:dyDescent="0.3">
      <c r="A96" s="461" t="s">
        <v>173</v>
      </c>
      <c r="B96" s="583">
        <f>B107-B97-B103-B104</f>
        <v>14664689.74</v>
      </c>
      <c r="C96" s="593"/>
      <c r="D96" s="583"/>
      <c r="E96" s="584"/>
      <c r="F96" s="585" t="e">
        <f>E96/D96</f>
        <v>#DIV/0!</v>
      </c>
      <c r="G96" s="586"/>
      <c r="H96" s="644"/>
    </row>
    <row r="97" spans="1:16" ht="28" customHeight="1" x14ac:dyDescent="0.3">
      <c r="A97" s="461" t="s">
        <v>41</v>
      </c>
      <c r="B97" s="418">
        <v>50000</v>
      </c>
      <c r="C97" s="594"/>
      <c r="D97" s="418"/>
      <c r="E97" s="570"/>
      <c r="F97" s="446" t="e">
        <f>E97/D97</f>
        <v>#DIV/0!</v>
      </c>
      <c r="G97" s="289"/>
      <c r="H97" s="645"/>
    </row>
    <row r="98" spans="1:16" ht="28" customHeight="1" x14ac:dyDescent="0.3">
      <c r="A98" s="461" t="s">
        <v>204</v>
      </c>
      <c r="B98" s="418"/>
      <c r="C98" s="594"/>
      <c r="D98" s="418"/>
      <c r="E98" s="570"/>
      <c r="F98" s="446"/>
      <c r="G98" s="289"/>
      <c r="H98" s="645" t="s">
        <v>259</v>
      </c>
    </row>
    <row r="99" spans="1:16" ht="28" hidden="1" customHeight="1" x14ac:dyDescent="0.3">
      <c r="A99" s="461" t="s">
        <v>160</v>
      </c>
      <c r="B99" s="418"/>
      <c r="C99" s="594"/>
      <c r="D99" s="418"/>
      <c r="E99" s="570"/>
      <c r="F99" s="446"/>
      <c r="G99" s="289"/>
      <c r="H99" s="646"/>
    </row>
    <row r="100" spans="1:16" ht="28" hidden="1" customHeight="1" x14ac:dyDescent="0.3">
      <c r="A100" s="461" t="s">
        <v>161</v>
      </c>
      <c r="B100" s="418"/>
      <c r="C100" s="594"/>
      <c r="D100" s="418"/>
      <c r="E100" s="570"/>
      <c r="F100" s="446"/>
      <c r="G100" s="289"/>
      <c r="H100" s="646" t="s">
        <v>162</v>
      </c>
    </row>
    <row r="101" spans="1:16" ht="28" hidden="1" customHeight="1" x14ac:dyDescent="0.3">
      <c r="A101" s="461" t="s">
        <v>174</v>
      </c>
      <c r="B101" s="418"/>
      <c r="C101" s="594"/>
      <c r="D101" s="418"/>
      <c r="E101" s="570"/>
      <c r="F101" s="446"/>
      <c r="G101" s="289"/>
      <c r="H101" s="646"/>
    </row>
    <row r="102" spans="1:16" ht="28" customHeight="1" x14ac:dyDescent="0.3">
      <c r="A102" s="461" t="s">
        <v>294</v>
      </c>
      <c r="B102" s="418"/>
      <c r="C102" s="594"/>
      <c r="D102" s="418"/>
      <c r="E102" s="570"/>
      <c r="F102" s="446"/>
      <c r="G102" s="289"/>
      <c r="H102" s="690" t="s">
        <v>295</v>
      </c>
    </row>
    <row r="103" spans="1:16" ht="28" customHeight="1" x14ac:dyDescent="0.3">
      <c r="A103" s="461" t="s">
        <v>196</v>
      </c>
      <c r="B103" s="418">
        <v>33750</v>
      </c>
      <c r="C103" s="594"/>
      <c r="D103" s="418"/>
      <c r="E103" s="570"/>
      <c r="F103" s="446"/>
      <c r="G103" s="289"/>
      <c r="H103" s="645" t="s">
        <v>260</v>
      </c>
    </row>
    <row r="104" spans="1:16" ht="28" customHeight="1" thickBot="1" x14ac:dyDescent="0.35">
      <c r="A104" s="461" t="s">
        <v>159</v>
      </c>
      <c r="B104" s="615">
        <v>68872</v>
      </c>
      <c r="C104" s="587"/>
      <c r="D104" s="615"/>
      <c r="E104" s="570"/>
      <c r="F104" s="446"/>
      <c r="G104" s="289"/>
      <c r="H104" s="647"/>
    </row>
    <row r="105" spans="1:16" ht="28" hidden="1" customHeight="1" x14ac:dyDescent="0.3">
      <c r="A105" s="461" t="s">
        <v>175</v>
      </c>
      <c r="B105" s="418"/>
      <c r="C105" s="594"/>
      <c r="D105" s="418"/>
      <c r="E105" s="570"/>
      <c r="F105" s="446"/>
      <c r="G105" s="289"/>
      <c r="H105" s="646"/>
    </row>
    <row r="106" spans="1:16" ht="28" hidden="1" customHeight="1" thickBot="1" x14ac:dyDescent="0.35">
      <c r="A106" s="462" t="s">
        <v>176</v>
      </c>
      <c r="B106" s="419"/>
      <c r="C106" s="595"/>
      <c r="D106" s="419"/>
      <c r="E106" s="571"/>
      <c r="F106" s="446"/>
      <c r="G106" s="290"/>
      <c r="H106" s="648"/>
    </row>
    <row r="107" spans="1:16" s="203" customFormat="1" ht="28" customHeight="1" thickBot="1" x14ac:dyDescent="0.35">
      <c r="A107" s="463" t="s">
        <v>43</v>
      </c>
      <c r="B107" s="420">
        <f>14817311.74</f>
        <v>14817311.74</v>
      </c>
      <c r="C107" s="596"/>
      <c r="D107" s="420">
        <f>C117</f>
        <v>16148937.634714881</v>
      </c>
      <c r="E107" s="572">
        <f>SUM(E95:E106)</f>
        <v>0</v>
      </c>
      <c r="F107" s="491">
        <f>E107/D107</f>
        <v>0</v>
      </c>
      <c r="G107" s="504"/>
      <c r="H107" s="480"/>
      <c r="O107" s="399"/>
      <c r="P107" s="399"/>
    </row>
    <row r="108" spans="1:16" ht="28" customHeight="1" thickBot="1" x14ac:dyDescent="0.35">
      <c r="A108" s="499"/>
      <c r="B108" s="503"/>
      <c r="C108" s="597"/>
      <c r="D108" s="503"/>
      <c r="E108" s="573"/>
      <c r="F108" s="501"/>
      <c r="G108" s="502"/>
      <c r="H108" s="649"/>
    </row>
    <row r="109" spans="1:16" s="203" customFormat="1" ht="28" customHeight="1" thickBot="1" x14ac:dyDescent="0.35">
      <c r="A109" s="463" t="s">
        <v>44</v>
      </c>
      <c r="B109" s="420">
        <f>B35+B91+B107+B76</f>
        <v>22144774.997329202</v>
      </c>
      <c r="C109" s="479">
        <f>C35+C91+C107+C76</f>
        <v>0</v>
      </c>
      <c r="D109" s="420">
        <f>D35+D91+D107+D76</f>
        <v>23737833</v>
      </c>
      <c r="E109" s="572">
        <f ca="1">E35+E91+E107+E76</f>
        <v>0</v>
      </c>
      <c r="F109" s="491">
        <f ca="1">E109/D109</f>
        <v>0</v>
      </c>
      <c r="G109" s="490"/>
      <c r="H109" s="480"/>
      <c r="O109" s="399"/>
      <c r="P109" s="399"/>
    </row>
    <row r="110" spans="1:16" ht="43" customHeight="1" thickBot="1" x14ac:dyDescent="0.35">
      <c r="H110" s="11"/>
    </row>
    <row r="111" spans="1:16" ht="43" customHeight="1" x14ac:dyDescent="0.3">
      <c r="A111" s="691" t="s">
        <v>262</v>
      </c>
      <c r="B111" s="692"/>
      <c r="C111" s="693"/>
      <c r="E111" s="387"/>
      <c r="F111" s="447"/>
      <c r="G111" s="387"/>
      <c r="H111" s="432"/>
    </row>
    <row r="112" spans="1:16" ht="43" customHeight="1" x14ac:dyDescent="0.3">
      <c r="A112" s="650"/>
      <c r="B112" s="617" t="s">
        <v>179</v>
      </c>
      <c r="C112" s="651" t="s">
        <v>273</v>
      </c>
      <c r="E112" s="387"/>
      <c r="F112" s="517"/>
      <c r="G112" s="387"/>
    </row>
    <row r="113" spans="1:16" ht="43" customHeight="1" x14ac:dyDescent="0.3">
      <c r="A113" s="652" t="s">
        <v>264</v>
      </c>
      <c r="B113" s="653">
        <v>22144775</v>
      </c>
      <c r="C113" s="653">
        <v>23737833</v>
      </c>
      <c r="D113" s="197" t="s">
        <v>293</v>
      </c>
      <c r="E113" s="447"/>
      <c r="F113" s="387"/>
      <c r="G113" s="304"/>
      <c r="H113" s="408"/>
      <c r="N113" s="181"/>
      <c r="P113"/>
    </row>
    <row r="114" spans="1:16" ht="72" customHeight="1" x14ac:dyDescent="0.3">
      <c r="A114" s="654" t="s">
        <v>267</v>
      </c>
      <c r="B114" s="653">
        <f>C76+C35</f>
        <v>0</v>
      </c>
      <c r="C114" s="653">
        <f>D76+D35</f>
        <v>3551660.9566064002</v>
      </c>
      <c r="E114" s="447"/>
      <c r="F114" s="387"/>
      <c r="G114"/>
      <c r="H114" s="408"/>
      <c r="N114" s="181"/>
      <c r="P114"/>
    </row>
    <row r="115" spans="1:16" ht="43" customHeight="1" x14ac:dyDescent="0.3">
      <c r="A115" s="654" t="s">
        <v>268</v>
      </c>
      <c r="B115" s="653">
        <f>B113-B114</f>
        <v>22144775</v>
      </c>
      <c r="C115" s="653">
        <f>C113-C114</f>
        <v>20186172.043393601</v>
      </c>
      <c r="E115" s="447"/>
      <c r="F115" s="387"/>
      <c r="G115"/>
      <c r="H115" s="408"/>
      <c r="N115" s="181"/>
      <c r="P115"/>
    </row>
    <row r="116" spans="1:16" ht="43" customHeight="1" x14ac:dyDescent="0.3">
      <c r="A116" s="652" t="s">
        <v>135</v>
      </c>
      <c r="B116" s="653">
        <f>B115*20%</f>
        <v>4428955</v>
      </c>
      <c r="C116" s="653">
        <f>C115*20%</f>
        <v>4037234.4086787202</v>
      </c>
      <c r="E116" s="447"/>
      <c r="F116" s="387"/>
      <c r="G116"/>
      <c r="H116" s="408"/>
      <c r="N116" s="181"/>
      <c r="P116"/>
    </row>
    <row r="117" spans="1:16" ht="43" customHeight="1" x14ac:dyDescent="0.3">
      <c r="A117" s="652" t="s">
        <v>136</v>
      </c>
      <c r="B117" s="653">
        <f>B115*80%</f>
        <v>17715820</v>
      </c>
      <c r="C117" s="653">
        <f>C115*80%</f>
        <v>16148937.634714881</v>
      </c>
      <c r="D117" s="618"/>
      <c r="E117" s="408"/>
      <c r="F117" s="197"/>
      <c r="G117"/>
      <c r="H117" s="408"/>
      <c r="N117" s="181"/>
      <c r="P117"/>
    </row>
    <row r="118" spans="1:16" ht="43" customHeight="1" x14ac:dyDescent="0.3">
      <c r="A118" s="652" t="s">
        <v>265</v>
      </c>
      <c r="B118" s="653">
        <f>B114+B116+B117</f>
        <v>22144775</v>
      </c>
      <c r="C118" s="653">
        <f>C114+C116+C117</f>
        <v>23737833</v>
      </c>
      <c r="E118" s="408"/>
      <c r="F118" s="197"/>
      <c r="G118"/>
      <c r="H118" s="408"/>
      <c r="N118" s="181"/>
      <c r="P118"/>
    </row>
    <row r="119" spans="1:16" ht="43" customHeight="1" x14ac:dyDescent="0.3">
      <c r="A119" s="652" t="s">
        <v>263</v>
      </c>
      <c r="B119" s="653"/>
      <c r="C119" s="653"/>
      <c r="E119" s="408"/>
      <c r="F119" s="197"/>
      <c r="G119"/>
      <c r="H119" s="408"/>
      <c r="N119" s="181"/>
      <c r="P119"/>
    </row>
    <row r="120" spans="1:16" ht="43" customHeight="1" thickBot="1" x14ac:dyDescent="0.35">
      <c r="A120" s="655" t="s">
        <v>266</v>
      </c>
      <c r="B120" s="656"/>
      <c r="C120" s="656"/>
      <c r="E120" s="408"/>
      <c r="F120" s="197"/>
      <c r="G120"/>
      <c r="H120" s="408"/>
      <c r="N120" s="181"/>
      <c r="P120"/>
    </row>
  </sheetData>
  <mergeCells count="1">
    <mergeCell ref="A111:C111"/>
  </mergeCells>
  <pageMargins left="0.7" right="0.7" top="0.75" bottom="0.75" header="0.3" footer="0.3"/>
  <pageSetup scale="16" orientation="landscape" horizontalDpi="0" verticalDpi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716C8-0994-9E4E-81EC-220D99C4A17E}">
  <dimension ref="A1:C11"/>
  <sheetViews>
    <sheetView zoomScale="190" zoomScaleNormal="190" workbookViewId="0">
      <selection activeCell="B14" sqref="B14"/>
    </sheetView>
  </sheetViews>
  <sheetFormatPr baseColWidth="10" defaultRowHeight="16" x14ac:dyDescent="0.2"/>
  <cols>
    <col min="1" max="1" width="26.1640625" bestFit="1" customWidth="1"/>
    <col min="2" max="2" width="20.5" style="432" customWidth="1"/>
    <col min="3" max="3" width="51.1640625" bestFit="1" customWidth="1"/>
  </cols>
  <sheetData>
    <row r="1" spans="1:3" ht="19" x14ac:dyDescent="0.25">
      <c r="A1" s="534" t="s">
        <v>287</v>
      </c>
      <c r="B1" s="535"/>
    </row>
    <row r="2" spans="1:3" s="203" customFormat="1" x14ac:dyDescent="0.2">
      <c r="A2" s="203" t="s">
        <v>207</v>
      </c>
      <c r="B2" s="433"/>
    </row>
    <row r="3" spans="1:3" x14ac:dyDescent="0.2">
      <c r="A3" t="s">
        <v>211</v>
      </c>
    </row>
    <row r="4" spans="1:3" x14ac:dyDescent="0.2">
      <c r="A4" t="s">
        <v>212</v>
      </c>
      <c r="C4" t="s">
        <v>276</v>
      </c>
    </row>
    <row r="5" spans="1:3" x14ac:dyDescent="0.2">
      <c r="A5" t="s">
        <v>213</v>
      </c>
    </row>
    <row r="6" spans="1:3" x14ac:dyDescent="0.2">
      <c r="A6" t="s">
        <v>214</v>
      </c>
    </row>
    <row r="7" spans="1:3" x14ac:dyDescent="0.2">
      <c r="A7" t="s">
        <v>183</v>
      </c>
    </row>
    <row r="8" spans="1:3" x14ac:dyDescent="0.2">
      <c r="A8" t="s">
        <v>215</v>
      </c>
    </row>
    <row r="9" spans="1:3" s="203" customFormat="1" x14ac:dyDescent="0.2">
      <c r="A9" s="203" t="s">
        <v>208</v>
      </c>
      <c r="B9" s="433"/>
    </row>
    <row r="10" spans="1:3" s="203" customFormat="1" x14ac:dyDescent="0.2">
      <c r="A10" s="203" t="s">
        <v>216</v>
      </c>
      <c r="B10" s="433"/>
      <c r="C10" s="203" t="s">
        <v>269</v>
      </c>
    </row>
    <row r="11" spans="1:3" x14ac:dyDescent="0.2">
      <c r="A11" s="203" t="s">
        <v>209</v>
      </c>
      <c r="B11" s="433"/>
      <c r="C11" t="s">
        <v>210</v>
      </c>
    </row>
  </sheetData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E8BCF-CC8D-BC41-9746-520EE7B1EE2C}">
  <dimension ref="A1:C10"/>
  <sheetViews>
    <sheetView zoomScale="170" zoomScaleNormal="170" workbookViewId="0">
      <selection activeCell="A18" sqref="A18"/>
    </sheetView>
  </sheetViews>
  <sheetFormatPr baseColWidth="10" defaultRowHeight="16" x14ac:dyDescent="0.2"/>
  <cols>
    <col min="1" max="1" width="34.83203125" bestFit="1" customWidth="1"/>
    <col min="2" max="2" width="14.6640625" style="432" bestFit="1" customWidth="1"/>
    <col min="3" max="3" width="32.6640625" bestFit="1" customWidth="1"/>
  </cols>
  <sheetData>
    <row r="1" spans="1:3" x14ac:dyDescent="0.2">
      <c r="A1" s="203" t="s">
        <v>200</v>
      </c>
      <c r="B1" s="433">
        <v>150000</v>
      </c>
    </row>
    <row r="2" spans="1:3" x14ac:dyDescent="0.2">
      <c r="A2" t="s">
        <v>182</v>
      </c>
      <c r="B2" s="432">
        <v>33900</v>
      </c>
    </row>
    <row r="3" spans="1:3" x14ac:dyDescent="0.2">
      <c r="A3" t="s">
        <v>183</v>
      </c>
      <c r="B3" s="432">
        <v>50400</v>
      </c>
    </row>
    <row r="4" spans="1:3" x14ac:dyDescent="0.2">
      <c r="A4" t="s">
        <v>229</v>
      </c>
      <c r="B4" s="432">
        <v>55000</v>
      </c>
      <c r="C4" t="s">
        <v>230</v>
      </c>
    </row>
    <row r="5" spans="1:3" x14ac:dyDescent="0.2">
      <c r="A5" t="s">
        <v>231</v>
      </c>
      <c r="B5" s="432">
        <v>25000</v>
      </c>
    </row>
    <row r="7" spans="1:3" x14ac:dyDescent="0.2">
      <c r="A7" s="510"/>
      <c r="B7" s="511"/>
      <c r="C7" s="510"/>
    </row>
    <row r="8" spans="1:3" s="203" customFormat="1" x14ac:dyDescent="0.2">
      <c r="A8" s="203" t="s">
        <v>218</v>
      </c>
      <c r="B8" s="433">
        <f>SUM(B2:B7)</f>
        <v>164300</v>
      </c>
    </row>
    <row r="10" spans="1:3" ht="34" x14ac:dyDescent="0.2">
      <c r="A10" s="577" t="s">
        <v>225</v>
      </c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736C6-C188-EF4A-8B63-23F4AFC15D37}">
  <dimension ref="A1:D21"/>
  <sheetViews>
    <sheetView workbookViewId="0">
      <selection activeCell="B1" sqref="B1:B23"/>
    </sheetView>
  </sheetViews>
  <sheetFormatPr baseColWidth="10" defaultRowHeight="16" x14ac:dyDescent="0.2"/>
  <cols>
    <col min="1" max="1" width="34.83203125" bestFit="1" customWidth="1"/>
    <col min="2" max="2" width="12.5" style="432" bestFit="1" customWidth="1"/>
    <col min="3" max="3" width="28.33203125" bestFit="1" customWidth="1"/>
    <col min="4" max="4" width="13.1640625" bestFit="1" customWidth="1"/>
  </cols>
  <sheetData>
    <row r="1" spans="1:2" x14ac:dyDescent="0.2">
      <c r="A1" s="203" t="s">
        <v>278</v>
      </c>
      <c r="B1" s="433"/>
    </row>
    <row r="2" spans="1:2" x14ac:dyDescent="0.2">
      <c r="A2" s="203"/>
      <c r="B2" s="433"/>
    </row>
    <row r="3" spans="1:2" x14ac:dyDescent="0.2">
      <c r="B3" s="516"/>
    </row>
    <row r="21" spans="1:4" s="203" customFormat="1" x14ac:dyDescent="0.2">
      <c r="A21" s="203" t="s">
        <v>279</v>
      </c>
      <c r="B21" s="433"/>
      <c r="D21" s="513"/>
    </row>
  </sheetData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F4E83-53C7-E24E-95BE-4468DC1615F1}">
  <dimension ref="A1:B12"/>
  <sheetViews>
    <sheetView workbookViewId="0">
      <selection activeCell="A12" sqref="A12"/>
    </sheetView>
  </sheetViews>
  <sheetFormatPr baseColWidth="10" defaultRowHeight="16" x14ac:dyDescent="0.2"/>
  <cols>
    <col min="1" max="1" width="33.5" bestFit="1" customWidth="1"/>
    <col min="2" max="2" width="14" style="432" bestFit="1" customWidth="1"/>
  </cols>
  <sheetData>
    <row r="1" spans="1:2" s="203" customFormat="1" x14ac:dyDescent="0.2">
      <c r="A1" s="203" t="s">
        <v>288</v>
      </c>
      <c r="B1" s="433">
        <f>SUM(B2:B10)</f>
        <v>0</v>
      </c>
    </row>
    <row r="12" spans="1:2" x14ac:dyDescent="0.2">
      <c r="A12" s="203" t="s">
        <v>289</v>
      </c>
      <c r="B12" s="433">
        <f>SUM(B13:B21)</f>
        <v>0</v>
      </c>
    </row>
  </sheetData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745A7-EB3C-0C4F-8E83-6DE90C72AE60}">
  <sheetPr>
    <tabColor rgb="FFFFC000"/>
  </sheetPr>
  <dimension ref="A1:G21"/>
  <sheetViews>
    <sheetView zoomScale="80" zoomScaleNormal="80" workbookViewId="0">
      <selection activeCell="E5" sqref="E5"/>
    </sheetView>
  </sheetViews>
  <sheetFormatPr baseColWidth="10" defaultRowHeight="62" customHeight="1" x14ac:dyDescent="0.35"/>
  <cols>
    <col min="1" max="1" width="49.83203125" customWidth="1"/>
    <col min="2" max="2" width="128" customWidth="1"/>
    <col min="3" max="3" width="34.6640625" bestFit="1" customWidth="1"/>
    <col min="4" max="4" width="44.1640625" style="208" customWidth="1"/>
    <col min="5" max="5" width="41.5" style="208" customWidth="1"/>
    <col min="7" max="7" width="36.5" customWidth="1"/>
  </cols>
  <sheetData>
    <row r="1" spans="1:7" ht="62" customHeight="1" x14ac:dyDescent="0.2">
      <c r="A1" s="392" t="s">
        <v>80</v>
      </c>
      <c r="B1" s="392" t="s">
        <v>119</v>
      </c>
      <c r="C1" s="393" t="s">
        <v>125</v>
      </c>
      <c r="D1" s="407" t="s">
        <v>165</v>
      </c>
      <c r="E1" s="407" t="s">
        <v>166</v>
      </c>
    </row>
    <row r="2" spans="1:7" ht="58" x14ac:dyDescent="0.2">
      <c r="A2" s="394" t="s">
        <v>143</v>
      </c>
      <c r="B2" s="395" t="s">
        <v>144</v>
      </c>
      <c r="C2" s="394" t="s">
        <v>145</v>
      </c>
      <c r="D2" s="396">
        <v>84000</v>
      </c>
      <c r="E2" s="396"/>
      <c r="G2" s="204"/>
    </row>
    <row r="3" spans="1:7" ht="58" x14ac:dyDescent="0.2">
      <c r="A3" s="394" t="s">
        <v>136</v>
      </c>
      <c r="B3" s="395" t="s">
        <v>146</v>
      </c>
      <c r="C3" s="394" t="s">
        <v>147</v>
      </c>
      <c r="D3" s="396"/>
      <c r="E3" s="396"/>
      <c r="G3" s="204"/>
    </row>
    <row r="4" spans="1:7" ht="58" x14ac:dyDescent="0.2">
      <c r="A4" s="394" t="s">
        <v>111</v>
      </c>
      <c r="B4" s="395" t="s">
        <v>148</v>
      </c>
      <c r="C4" s="394" t="s">
        <v>149</v>
      </c>
      <c r="D4" s="396">
        <v>669842</v>
      </c>
      <c r="E4" s="396"/>
      <c r="G4" s="204"/>
    </row>
    <row r="5" spans="1:7" ht="58" x14ac:dyDescent="0.2">
      <c r="A5" s="394" t="s">
        <v>135</v>
      </c>
      <c r="B5" s="395" t="s">
        <v>150</v>
      </c>
      <c r="C5" s="394" t="s">
        <v>151</v>
      </c>
      <c r="D5" s="396"/>
      <c r="E5" s="396"/>
      <c r="G5" s="205"/>
    </row>
    <row r="6" spans="1:7" ht="62" customHeight="1" x14ac:dyDescent="0.35">
      <c r="A6" s="398" t="s">
        <v>157</v>
      </c>
      <c r="B6" s="398"/>
      <c r="C6" s="398"/>
      <c r="D6" s="397">
        <f>SUM(D2:D5)</f>
        <v>753842</v>
      </c>
      <c r="E6" s="397">
        <f>SUM(E2:E5)</f>
        <v>0</v>
      </c>
      <c r="G6" s="206"/>
    </row>
    <row r="7" spans="1:7" ht="62" customHeight="1" thickBot="1" x14ac:dyDescent="0.4">
      <c r="A7" s="147"/>
      <c r="B7" s="147"/>
      <c r="C7" s="148"/>
      <c r="G7" s="207"/>
    </row>
    <row r="8" spans="1:7" ht="62" customHeight="1" thickBot="1" x14ac:dyDescent="0.4">
      <c r="B8" s="149" t="s">
        <v>138</v>
      </c>
      <c r="C8" s="150"/>
      <c r="G8" s="206"/>
    </row>
    <row r="9" spans="1:7" ht="62" customHeight="1" x14ac:dyDescent="0.35">
      <c r="B9" s="200" t="s">
        <v>139</v>
      </c>
      <c r="C9" s="151">
        <v>14053205</v>
      </c>
      <c r="G9" s="206"/>
    </row>
    <row r="10" spans="1:7" ht="62" customHeight="1" x14ac:dyDescent="0.35">
      <c r="B10" s="200" t="s">
        <v>142</v>
      </c>
      <c r="C10" s="151">
        <f>33623+1971+30404</f>
        <v>65998</v>
      </c>
    </row>
    <row r="11" spans="1:7" ht="62" customHeight="1" thickBot="1" x14ac:dyDescent="0.4">
      <c r="B11" s="200" t="s">
        <v>140</v>
      </c>
      <c r="C11" s="389">
        <v>7325637</v>
      </c>
    </row>
    <row r="12" spans="1:7" ht="62" customHeight="1" thickTop="1" x14ac:dyDescent="0.35">
      <c r="B12" s="201" t="s">
        <v>141</v>
      </c>
      <c r="C12" s="388">
        <f>SUM(C9:C11)</f>
        <v>21444840</v>
      </c>
    </row>
    <row r="13" spans="1:7" ht="62" customHeight="1" x14ac:dyDescent="0.35">
      <c r="B13" s="202"/>
      <c r="C13" s="390"/>
    </row>
    <row r="14" spans="1:7" ht="62" customHeight="1" x14ac:dyDescent="0.35">
      <c r="B14" s="200" t="s">
        <v>163</v>
      </c>
      <c r="C14" s="391">
        <f>'FY 2025 Working'!D107</f>
        <v>16148937.634714881</v>
      </c>
    </row>
    <row r="15" spans="1:7" ht="62" customHeight="1" thickBot="1" x14ac:dyDescent="0.4">
      <c r="B15" s="200" t="s">
        <v>164</v>
      </c>
      <c r="C15" s="400">
        <f>D6</f>
        <v>753842</v>
      </c>
    </row>
    <row r="16" spans="1:7" ht="62" customHeight="1" thickTop="1" x14ac:dyDescent="0.35">
      <c r="B16" s="401" t="s">
        <v>167</v>
      </c>
      <c r="C16" s="402">
        <f>C14-C15</f>
        <v>15395095.634714881</v>
      </c>
    </row>
    <row r="17" spans="2:3" ht="62" customHeight="1" x14ac:dyDescent="0.35">
      <c r="B17" s="200"/>
      <c r="C17" s="391"/>
    </row>
    <row r="18" spans="2:3" ht="62" customHeight="1" x14ac:dyDescent="0.35">
      <c r="B18" s="200" t="s">
        <v>169</v>
      </c>
      <c r="C18" s="391">
        <f>'FY 2025 Working'!D91</f>
        <v>4037234.4086787202</v>
      </c>
    </row>
    <row r="19" spans="2:3" ht="62" customHeight="1" thickBot="1" x14ac:dyDescent="0.4">
      <c r="B19" s="200" t="s">
        <v>168</v>
      </c>
      <c r="C19" s="400">
        <f>E6</f>
        <v>0</v>
      </c>
    </row>
    <row r="20" spans="2:3" ht="62" customHeight="1" thickTop="1" thickBot="1" x14ac:dyDescent="0.4">
      <c r="B20" s="405" t="s">
        <v>170</v>
      </c>
      <c r="C20" s="406">
        <f>C18-C19</f>
        <v>4037234.4086787202</v>
      </c>
    </row>
    <row r="21" spans="2:3" ht="62" customHeight="1" x14ac:dyDescent="0.35">
      <c r="B21" s="403"/>
      <c r="C21" s="404"/>
    </row>
  </sheetData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5969A-FEFB-6248-8866-FA81B02226DF}">
  <dimension ref="A1:E15"/>
  <sheetViews>
    <sheetView workbookViewId="0">
      <selection activeCell="A14" sqref="A14:XFD14"/>
    </sheetView>
  </sheetViews>
  <sheetFormatPr baseColWidth="10" defaultRowHeight="19" x14ac:dyDescent="0.25"/>
  <cols>
    <col min="1" max="1" width="32.1640625" style="386" bestFit="1" customWidth="1"/>
    <col min="2" max="2" width="18.5" style="515" bestFit="1" customWidth="1"/>
    <col min="3" max="3" width="18.5" bestFit="1" customWidth="1"/>
    <col min="4" max="4" width="22" bestFit="1" customWidth="1"/>
    <col min="5" max="5" width="42.5" bestFit="1" customWidth="1"/>
  </cols>
  <sheetData>
    <row r="1" spans="1:5" ht="16" x14ac:dyDescent="0.2">
      <c r="A1" t="s">
        <v>180</v>
      </c>
      <c r="B1" s="514">
        <v>70000</v>
      </c>
      <c r="C1" t="s">
        <v>195</v>
      </c>
      <c r="D1" t="s">
        <v>191</v>
      </c>
      <c r="E1" t="s">
        <v>192</v>
      </c>
    </row>
    <row r="4" spans="1:5" ht="16" x14ac:dyDescent="0.2">
      <c r="A4" t="s">
        <v>178</v>
      </c>
      <c r="B4" s="514"/>
      <c r="C4" t="s">
        <v>179</v>
      </c>
    </row>
    <row r="5" spans="1:5" ht="16" x14ac:dyDescent="0.2">
      <c r="A5" t="s">
        <v>181</v>
      </c>
      <c r="B5" s="514"/>
      <c r="C5" t="s">
        <v>179</v>
      </c>
    </row>
    <row r="6" spans="1:5" ht="16" x14ac:dyDescent="0.2">
      <c r="A6" t="s">
        <v>184</v>
      </c>
      <c r="B6" s="514"/>
      <c r="C6" t="s">
        <v>179</v>
      </c>
    </row>
    <row r="7" spans="1:5" ht="16" x14ac:dyDescent="0.2">
      <c r="A7" t="s">
        <v>185</v>
      </c>
      <c r="B7" s="514"/>
      <c r="C7" t="s">
        <v>179</v>
      </c>
    </row>
    <row r="8" spans="1:5" ht="16" x14ac:dyDescent="0.2">
      <c r="A8" t="s">
        <v>186</v>
      </c>
      <c r="B8" s="514"/>
      <c r="C8" t="s">
        <v>179</v>
      </c>
    </row>
    <row r="9" spans="1:5" ht="16" x14ac:dyDescent="0.2">
      <c r="A9" t="s">
        <v>187</v>
      </c>
      <c r="B9" s="514"/>
      <c r="C9" t="s">
        <v>179</v>
      </c>
    </row>
    <row r="10" spans="1:5" ht="16" x14ac:dyDescent="0.2">
      <c r="A10" t="s">
        <v>188</v>
      </c>
      <c r="B10" s="514"/>
      <c r="C10" t="s">
        <v>179</v>
      </c>
    </row>
    <row r="11" spans="1:5" ht="16" x14ac:dyDescent="0.2">
      <c r="A11" t="s">
        <v>189</v>
      </c>
      <c r="B11" s="514"/>
      <c r="C11" t="s">
        <v>179</v>
      </c>
    </row>
    <row r="12" spans="1:5" ht="16" x14ac:dyDescent="0.2">
      <c r="A12" t="s">
        <v>194</v>
      </c>
      <c r="B12" s="514">
        <v>72000</v>
      </c>
      <c r="C12" t="s">
        <v>179</v>
      </c>
      <c r="D12" t="s">
        <v>191</v>
      </c>
      <c r="E12" t="s">
        <v>193</v>
      </c>
    </row>
    <row r="13" spans="1:5" ht="16" x14ac:dyDescent="0.2">
      <c r="A13" t="s">
        <v>196</v>
      </c>
      <c r="B13" s="514">
        <v>33750</v>
      </c>
      <c r="C13" t="s">
        <v>179</v>
      </c>
      <c r="E13" t="s">
        <v>201</v>
      </c>
    </row>
    <row r="14" spans="1:5" ht="16" x14ac:dyDescent="0.2">
      <c r="A14" t="s">
        <v>202</v>
      </c>
      <c r="B14" s="514">
        <v>90500</v>
      </c>
      <c r="C14" t="s">
        <v>179</v>
      </c>
    </row>
    <row r="15" spans="1:5" ht="16" x14ac:dyDescent="0.2">
      <c r="A15" t="s">
        <v>277</v>
      </c>
      <c r="B15" s="514">
        <v>56250</v>
      </c>
      <c r="C15" t="s">
        <v>273</v>
      </c>
    </row>
  </sheetData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84A34-E6BB-3147-B767-8CA02566A4FE}">
  <sheetPr>
    <tabColor rgb="FF7030A0"/>
  </sheetPr>
  <dimension ref="C1:L32"/>
  <sheetViews>
    <sheetView workbookViewId="0">
      <selection activeCell="F24" sqref="F24"/>
    </sheetView>
  </sheetViews>
  <sheetFormatPr baseColWidth="10" defaultRowHeight="21" x14ac:dyDescent="0.25"/>
  <cols>
    <col min="1" max="2" width="10.83203125" style="307"/>
    <col min="3" max="3" width="29.83203125" style="307" customWidth="1"/>
    <col min="4" max="4" width="88" style="307" customWidth="1"/>
    <col min="5" max="5" width="29.83203125" style="307" customWidth="1"/>
    <col min="6" max="6" width="24" style="307" customWidth="1"/>
    <col min="7" max="7" width="13.5" style="307" customWidth="1"/>
    <col min="8" max="8" width="12.1640625" style="306" customWidth="1"/>
    <col min="9" max="9" width="13.33203125" style="307" hidden="1" customWidth="1"/>
    <col min="10" max="10" width="19.83203125" style="308" hidden="1" customWidth="1"/>
    <col min="11" max="11" width="19.33203125" style="307" hidden="1" customWidth="1"/>
    <col min="12" max="12" width="50.6640625" style="307" hidden="1" customWidth="1"/>
    <col min="13" max="16384" width="10.83203125" style="307"/>
  </cols>
  <sheetData>
    <row r="1" spans="3:12" ht="22" thickBot="1" x14ac:dyDescent="0.3">
      <c r="C1" s="697"/>
      <c r="D1" s="697"/>
      <c r="E1" s="697"/>
      <c r="F1" s="697"/>
      <c r="G1" s="305"/>
    </row>
    <row r="2" spans="3:12" ht="30" x14ac:dyDescent="0.25">
      <c r="C2" s="698" t="s">
        <v>132</v>
      </c>
      <c r="D2" s="699"/>
      <c r="E2" s="699"/>
      <c r="F2" s="700"/>
      <c r="G2" s="309"/>
    </row>
    <row r="3" spans="3:12" ht="31" thickBot="1" x14ac:dyDescent="0.3">
      <c r="C3" s="701"/>
      <c r="D3" s="702"/>
      <c r="E3" s="702"/>
      <c r="F3" s="703"/>
      <c r="G3" s="309"/>
    </row>
    <row r="4" spans="3:12" ht="53" thickBot="1" x14ac:dyDescent="0.3">
      <c r="C4" s="310" t="s">
        <v>80</v>
      </c>
      <c r="D4" s="311" t="s">
        <v>119</v>
      </c>
      <c r="E4" s="311" t="s">
        <v>125</v>
      </c>
      <c r="F4" s="310" t="s">
        <v>81</v>
      </c>
      <c r="G4" s="312"/>
      <c r="H4" s="313"/>
    </row>
    <row r="5" spans="3:12" ht="25" x14ac:dyDescent="0.25">
      <c r="C5" s="314"/>
      <c r="D5" s="315"/>
      <c r="E5" s="315"/>
      <c r="F5" s="316"/>
      <c r="G5" s="317"/>
      <c r="H5" s="318"/>
      <c r="I5" s="319" t="s">
        <v>121</v>
      </c>
      <c r="J5" s="320">
        <v>10736946</v>
      </c>
      <c r="K5" s="321">
        <f>F6-115617</f>
        <v>-115617</v>
      </c>
    </row>
    <row r="6" spans="3:12" ht="44" x14ac:dyDescent="0.25">
      <c r="C6" s="322"/>
      <c r="D6" s="323"/>
      <c r="E6" s="323"/>
      <c r="F6" s="324"/>
      <c r="G6" s="317"/>
      <c r="H6" s="318"/>
      <c r="I6" s="325" t="s">
        <v>122</v>
      </c>
      <c r="J6" s="326">
        <v>8777700</v>
      </c>
      <c r="K6" s="327">
        <v>5714933</v>
      </c>
      <c r="L6" s="328" t="s">
        <v>126</v>
      </c>
    </row>
    <row r="7" spans="3:12" ht="25" x14ac:dyDescent="0.25">
      <c r="C7" s="322"/>
      <c r="D7" s="323"/>
      <c r="E7" s="323"/>
      <c r="F7" s="324"/>
      <c r="G7" s="317"/>
      <c r="H7" s="318"/>
      <c r="I7" s="325"/>
      <c r="J7" s="329"/>
      <c r="K7" s="327"/>
      <c r="L7" s="328"/>
    </row>
    <row r="8" spans="3:12" ht="25" x14ac:dyDescent="0.25">
      <c r="C8" s="322"/>
      <c r="D8" s="323"/>
      <c r="E8" s="323"/>
      <c r="F8" s="324"/>
      <c r="G8" s="317"/>
      <c r="H8" s="318"/>
      <c r="I8" s="330" t="s">
        <v>123</v>
      </c>
      <c r="J8" s="331">
        <f>J5-J6</f>
        <v>1959246</v>
      </c>
      <c r="K8" s="332">
        <f>F9-28904</f>
        <v>-28904</v>
      </c>
    </row>
    <row r="9" spans="3:12" ht="26" thickBot="1" x14ac:dyDescent="0.3">
      <c r="C9" s="322"/>
      <c r="D9" s="323"/>
      <c r="E9" s="323"/>
      <c r="F9" s="324"/>
      <c r="G9" s="317"/>
      <c r="H9" s="318"/>
      <c r="I9" s="333" t="s">
        <v>124</v>
      </c>
      <c r="J9" s="334">
        <v>2212424.9500000002</v>
      </c>
      <c r="K9" s="327">
        <v>1399768</v>
      </c>
      <c r="L9" s="307" t="s">
        <v>127</v>
      </c>
    </row>
    <row r="10" spans="3:12" ht="25" x14ac:dyDescent="0.25">
      <c r="C10" s="322"/>
      <c r="D10" s="323"/>
      <c r="E10" s="323"/>
      <c r="F10" s="324"/>
      <c r="G10" s="317"/>
      <c r="H10" s="318"/>
      <c r="I10" s="335"/>
      <c r="J10" s="336"/>
      <c r="K10" s="327"/>
    </row>
    <row r="11" spans="3:12" ht="26" thickBot="1" x14ac:dyDescent="0.3">
      <c r="C11" s="704" t="s">
        <v>133</v>
      </c>
      <c r="D11" s="705"/>
      <c r="E11" s="705"/>
      <c r="F11" s="337">
        <f>SUM(F5:F10)</f>
        <v>0</v>
      </c>
      <c r="G11" s="338"/>
      <c r="H11" s="339"/>
      <c r="J11" s="340"/>
    </row>
    <row r="12" spans="3:12" ht="25" x14ac:dyDescent="0.25">
      <c r="C12" s="341"/>
      <c r="D12" s="341"/>
      <c r="E12" s="341"/>
      <c r="F12" s="342"/>
      <c r="G12" s="343"/>
      <c r="H12" s="344"/>
      <c r="J12" s="345"/>
      <c r="K12" s="346">
        <f>F12*0.8</f>
        <v>0</v>
      </c>
      <c r="L12" s="307" t="s">
        <v>128</v>
      </c>
    </row>
    <row r="13" spans="3:12" ht="27" hidden="1" thickBot="1" x14ac:dyDescent="0.3">
      <c r="C13" s="347"/>
      <c r="D13" s="348" t="s">
        <v>83</v>
      </c>
      <c r="E13" s="349"/>
      <c r="F13" s="350"/>
      <c r="G13" s="343"/>
      <c r="H13" s="344"/>
      <c r="J13" s="345"/>
    </row>
    <row r="14" spans="3:12" ht="25" hidden="1" x14ac:dyDescent="0.25">
      <c r="C14" s="347"/>
      <c r="D14" s="351" t="s">
        <v>98</v>
      </c>
      <c r="E14" s="352"/>
      <c r="F14" s="353"/>
      <c r="G14" s="317"/>
      <c r="H14" s="318"/>
      <c r="J14" s="345"/>
    </row>
    <row r="15" spans="3:12" ht="25" hidden="1" x14ac:dyDescent="0.25">
      <c r="C15" s="347"/>
      <c r="D15" s="354" t="s">
        <v>99</v>
      </c>
      <c r="E15" s="355"/>
      <c r="F15" s="356"/>
      <c r="G15" s="317"/>
      <c r="H15" s="318"/>
    </row>
    <row r="16" spans="3:12" ht="25" hidden="1" x14ac:dyDescent="0.25">
      <c r="C16" s="347"/>
      <c r="D16" s="357" t="s">
        <v>116</v>
      </c>
      <c r="E16" s="358"/>
      <c r="F16" s="359">
        <f>SUM(F14:F15)</f>
        <v>0</v>
      </c>
      <c r="G16" s="338"/>
      <c r="H16" s="339"/>
    </row>
    <row r="17" spans="3:12" ht="26" hidden="1" thickBot="1" x14ac:dyDescent="0.3">
      <c r="C17" s="347"/>
      <c r="D17" s="360"/>
      <c r="E17" s="361"/>
      <c r="F17" s="362"/>
      <c r="G17" s="363"/>
      <c r="H17" s="364"/>
    </row>
    <row r="18" spans="3:12" ht="25" hidden="1" x14ac:dyDescent="0.25">
      <c r="C18" s="347"/>
      <c r="D18" s="365" t="s">
        <v>116</v>
      </c>
      <c r="E18" s="366"/>
      <c r="F18" s="367">
        <f>SUM(F16:F17)</f>
        <v>0</v>
      </c>
      <c r="G18" s="368"/>
      <c r="H18" s="369"/>
    </row>
    <row r="19" spans="3:12" ht="26" hidden="1" thickBot="1" x14ac:dyDescent="0.3">
      <c r="C19" s="347"/>
      <c r="D19" s="370" t="s">
        <v>84</v>
      </c>
      <c r="E19" s="371"/>
      <c r="F19" s="372"/>
      <c r="G19" s="373"/>
      <c r="H19" s="374"/>
    </row>
    <row r="20" spans="3:12" ht="26" thickBot="1" x14ac:dyDescent="0.3">
      <c r="C20" s="347"/>
      <c r="D20" s="347"/>
      <c r="E20" s="347"/>
      <c r="F20" s="375"/>
      <c r="G20" s="375"/>
      <c r="H20" s="376"/>
      <c r="K20" s="346">
        <f>F12*0.2</f>
        <v>0</v>
      </c>
      <c r="L20" s="307" t="s">
        <v>129</v>
      </c>
    </row>
    <row r="21" spans="3:12" ht="25" x14ac:dyDescent="0.25">
      <c r="C21" s="706" t="s">
        <v>134</v>
      </c>
      <c r="D21" s="707"/>
      <c r="E21" s="707"/>
      <c r="F21" s="708"/>
      <c r="G21" s="377"/>
      <c r="H21" s="376"/>
    </row>
    <row r="22" spans="3:12" ht="25" x14ac:dyDescent="0.25">
      <c r="C22" s="709" t="s">
        <v>137</v>
      </c>
      <c r="D22" s="710"/>
      <c r="E22" s="710"/>
      <c r="F22" s="378"/>
      <c r="G22" s="379"/>
      <c r="H22" s="376"/>
    </row>
    <row r="23" spans="3:12" ht="25" x14ac:dyDescent="0.25">
      <c r="C23" s="709" t="s">
        <v>130</v>
      </c>
      <c r="D23" s="710"/>
      <c r="E23" s="710"/>
      <c r="F23" s="378"/>
      <c r="G23" s="379"/>
      <c r="H23" s="376"/>
      <c r="K23" s="307" t="e">
        <f>F6/F24</f>
        <v>#DIV/0!</v>
      </c>
      <c r="L23" s="307" t="e">
        <f>F7/F11</f>
        <v>#DIV/0!</v>
      </c>
    </row>
    <row r="24" spans="3:12" ht="26" thickBot="1" x14ac:dyDescent="0.3">
      <c r="C24" s="694" t="s">
        <v>120</v>
      </c>
      <c r="D24" s="695"/>
      <c r="E24" s="696"/>
      <c r="F24" s="380">
        <f>SUM(F22:F23)</f>
        <v>0</v>
      </c>
      <c r="G24" s="381"/>
      <c r="H24" s="382"/>
      <c r="K24" s="307" t="e">
        <f>F9/F24</f>
        <v>#DIV/0!</v>
      </c>
      <c r="L24" s="307" t="e">
        <f>F8/F24</f>
        <v>#DIV/0!</v>
      </c>
    </row>
    <row r="25" spans="3:12" x14ac:dyDescent="0.25">
      <c r="C25" s="383"/>
      <c r="F25" s="308"/>
      <c r="G25" s="308"/>
      <c r="L25" s="346"/>
    </row>
    <row r="26" spans="3:12" x14ac:dyDescent="0.25">
      <c r="C26" s="383"/>
      <c r="D26" s="383"/>
      <c r="E26" s="384"/>
      <c r="F26" s="385"/>
      <c r="G26" s="385"/>
      <c r="L26" s="307" t="e">
        <f>K23+L23+L24</f>
        <v>#DIV/0!</v>
      </c>
    </row>
    <row r="27" spans="3:12" x14ac:dyDescent="0.25">
      <c r="F27" s="308"/>
      <c r="G27" s="308"/>
    </row>
    <row r="28" spans="3:12" x14ac:dyDescent="0.25">
      <c r="E28" s="308"/>
    </row>
    <row r="29" spans="3:12" x14ac:dyDescent="0.25">
      <c r="E29" s="308"/>
    </row>
    <row r="30" spans="3:12" x14ac:dyDescent="0.25">
      <c r="E30" s="308"/>
    </row>
    <row r="31" spans="3:12" x14ac:dyDescent="0.25">
      <c r="E31" s="308"/>
    </row>
    <row r="32" spans="3:12" x14ac:dyDescent="0.25">
      <c r="E32" s="308"/>
    </row>
  </sheetData>
  <mergeCells count="7">
    <mergeCell ref="C24:E24"/>
    <mergeCell ref="C1:F1"/>
    <mergeCell ref="C2:F3"/>
    <mergeCell ref="C11:E11"/>
    <mergeCell ref="C21:F21"/>
    <mergeCell ref="C22:E22"/>
    <mergeCell ref="C23:E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FY 2020 </vt:lpstr>
      <vt:lpstr>FY 2025 Working</vt:lpstr>
      <vt:lpstr>FY 2025 GQIP Budget</vt:lpstr>
      <vt:lpstr>FY 2025 Meeting Expense</vt:lpstr>
      <vt:lpstr>FY 2025 Contingency Total</vt:lpstr>
      <vt:lpstr>FY 2025 Reallocation Plan</vt:lpstr>
      <vt:lpstr>Historic AFY Line Items</vt:lpstr>
      <vt:lpstr>Funding Priorities</vt:lpstr>
      <vt:lpstr>AFY TEMPLATE</vt:lpstr>
      <vt:lpstr>'FY 2025 Working'!Print_Area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Hamilton</dc:creator>
  <cp:lastModifiedBy>Hamilton, Katie</cp:lastModifiedBy>
  <cp:lastPrinted>2024-02-09T17:57:11Z</cp:lastPrinted>
  <dcterms:created xsi:type="dcterms:W3CDTF">2020-02-21T02:38:24Z</dcterms:created>
  <dcterms:modified xsi:type="dcterms:W3CDTF">2024-02-16T02:00:12Z</dcterms:modified>
</cp:coreProperties>
</file>